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zakfischer/Documents/To Post/"/>
    </mc:Choice>
  </mc:AlternateContent>
  <xr:revisionPtr revIDLastSave="0" documentId="13_ncr:1_{C980BFE3-269A-A84E-A769-F91EA7B61069}" xr6:coauthVersionLast="46" xr6:coauthVersionMax="46" xr10:uidLastSave="{00000000-0000-0000-0000-000000000000}"/>
  <bookViews>
    <workbookView xWindow="-35720" yWindow="3000" windowWidth="33600" windowHeight="19300" xr2:uid="{00000000-000D-0000-FFFF-FFFF00000000}"/>
  </bookViews>
  <sheets>
    <sheet name="Read First!" sheetId="9" r:id="rId1"/>
    <sheet name="PBT Extra Example" sheetId="16" r:id="rId2"/>
    <sheet name="Inputs" sheetId="8" r:id="rId3"/>
    <sheet name="Calc" sheetId="1" r:id="rId4"/>
    <sheet name="Property Level Pro-Forma" sheetId="13" r:id="rId5"/>
    <sheet name="Equity-Level Pro Porma" sheetId="14" r:id="rId6"/>
    <sheet name="IRR Summary" sheetId="12" r:id="rId7"/>
    <sheet name="Investment Decision Making" sheetId="15" r:id="rId8"/>
    <sheet name="Additional Notes" sheetId="11" r:id="rId9"/>
  </sheets>
  <definedNames>
    <definedName name="amort">Inputs!$C$17</definedName>
    <definedName name="appreciation_rate">Inputs!$C$4</definedName>
    <definedName name="build_value">Inputs!$C$8</definedName>
    <definedName name="cap_gains_tax_rate">Inputs!$C$10</definedName>
    <definedName name="debt_market_marginal">Inputs!$C$12</definedName>
    <definedName name="depr_recapture">Inputs!$C$11</definedName>
    <definedName name="depr_years">Inputs!$C$9</definedName>
    <definedName name="income_tax_rate">Inputs!$C$6</definedName>
    <definedName name="int_rate">Inputs!$C$16</definedName>
    <definedName name="loan_amt">Inputs!$C$15</definedName>
    <definedName name="market_price">Inputs!$C$14</definedName>
    <definedName name="_xlnm.Print_Area" localSheetId="3">Calc!$B$41:$O$45</definedName>
    <definedName name="yield_rate">Inputs!$C$5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15" l="1"/>
  <c r="D23" i="15"/>
  <c r="N39" i="14"/>
  <c r="C47" i="14"/>
  <c r="C20" i="14"/>
  <c r="F19" i="1"/>
  <c r="Q8" i="1"/>
  <c r="F9" i="1"/>
  <c r="D8" i="1"/>
  <c r="D9" i="1"/>
  <c r="C12" i="16"/>
  <c r="D35" i="15"/>
  <c r="D36" i="15"/>
  <c r="Q10" i="15"/>
  <c r="O18" i="15"/>
  <c r="N37" i="14"/>
  <c r="N35" i="14"/>
  <c r="N34" i="14"/>
  <c r="N33" i="14"/>
  <c r="N31" i="14"/>
  <c r="Q11" i="14"/>
  <c r="Q10" i="1"/>
  <c r="R17" i="1" l="1"/>
  <c r="R16" i="1"/>
  <c r="R15" i="1"/>
  <c r="R14" i="1"/>
  <c r="R13" i="1"/>
  <c r="R12" i="1"/>
  <c r="R11" i="1"/>
  <c r="R10" i="1"/>
  <c r="R7" i="1"/>
  <c r="Q17" i="1"/>
  <c r="Q16" i="1"/>
  <c r="Q15" i="1"/>
  <c r="Q14" i="1"/>
  <c r="Q13" i="1"/>
  <c r="Q12" i="1"/>
  <c r="Q11" i="1"/>
  <c r="Q7" i="1"/>
  <c r="G9" i="1"/>
  <c r="Q9" i="1" s="1"/>
  <c r="I9" i="1"/>
  <c r="D21" i="16" l="1"/>
  <c r="D10" i="16"/>
  <c r="D9" i="16"/>
  <c r="D8" i="16"/>
  <c r="D6" i="16"/>
  <c r="D16" i="16" l="1"/>
  <c r="D17" i="16"/>
  <c r="D18" i="16"/>
  <c r="D19" i="16"/>
  <c r="D20" i="16"/>
  <c r="N22" i="14"/>
  <c r="N20" i="14"/>
  <c r="N11" i="14"/>
  <c r="C9" i="14"/>
  <c r="C18" i="14"/>
  <c r="C8" i="14"/>
  <c r="C7" i="1"/>
  <c r="C23" i="16" l="1"/>
  <c r="Q18" i="15"/>
  <c r="S24" i="15" s="1"/>
  <c r="N23" i="15"/>
  <c r="H16" i="15"/>
  <c r="H15" i="15"/>
  <c r="H14" i="15"/>
  <c r="H13" i="15"/>
  <c r="H12" i="15"/>
  <c r="H11" i="15"/>
  <c r="H10" i="15"/>
  <c r="H9" i="15"/>
  <c r="H8" i="15"/>
  <c r="H7" i="15"/>
  <c r="N6" i="15"/>
  <c r="L7" i="15"/>
  <c r="D7" i="15"/>
  <c r="G7" i="15" s="1"/>
  <c r="C7" i="15"/>
  <c r="D8" i="15" s="1"/>
  <c r="B7" i="15"/>
  <c r="B8" i="15" s="1"/>
  <c r="B9" i="15" s="1"/>
  <c r="B10" i="15" s="1"/>
  <c r="B11" i="15" s="1"/>
  <c r="B12" i="15" s="1"/>
  <c r="B13" i="15" s="1"/>
  <c r="B14" i="15" s="1"/>
  <c r="B15" i="15" s="1"/>
  <c r="B16" i="15" s="1"/>
  <c r="K6" i="15"/>
  <c r="J6" i="15"/>
  <c r="J7" i="15" s="1"/>
  <c r="F6" i="15"/>
  <c r="M6" i="15" s="1"/>
  <c r="D42" i="15" l="1"/>
  <c r="K7" i="15"/>
  <c r="O7" i="15" s="1"/>
  <c r="F8" i="15"/>
  <c r="G8" i="15"/>
  <c r="J8" i="15"/>
  <c r="L8" i="15"/>
  <c r="K8" i="15"/>
  <c r="O8" i="15" s="1"/>
  <c r="F7" i="15"/>
  <c r="C8" i="15"/>
  <c r="L19" i="14"/>
  <c r="K19" i="14"/>
  <c r="J19" i="14"/>
  <c r="I19" i="14"/>
  <c r="H19" i="14"/>
  <c r="G19" i="14"/>
  <c r="F19" i="14"/>
  <c r="E19" i="14"/>
  <c r="D19" i="14"/>
  <c r="C19" i="14"/>
  <c r="L15" i="13"/>
  <c r="L17" i="14" s="1"/>
  <c r="L30" i="14" s="1"/>
  <c r="K15" i="13"/>
  <c r="K17" i="14" s="1"/>
  <c r="K30" i="14" s="1"/>
  <c r="J15" i="13"/>
  <c r="J17" i="14" s="1"/>
  <c r="J30" i="14" s="1"/>
  <c r="I15" i="13"/>
  <c r="I17" i="14" s="1"/>
  <c r="I30" i="14" s="1"/>
  <c r="H15" i="13"/>
  <c r="H17" i="14" s="1"/>
  <c r="H30" i="14" s="1"/>
  <c r="G15" i="13"/>
  <c r="G17" i="14" s="1"/>
  <c r="G30" i="14" s="1"/>
  <c r="F15" i="13"/>
  <c r="F17" i="14" s="1"/>
  <c r="F30" i="14" s="1"/>
  <c r="E15" i="13"/>
  <c r="E17" i="14" s="1"/>
  <c r="E30" i="14" s="1"/>
  <c r="D15" i="13"/>
  <c r="D17" i="14" s="1"/>
  <c r="D30" i="14" s="1"/>
  <c r="C15" i="13"/>
  <c r="C17" i="14" s="1"/>
  <c r="C30" i="14" s="1"/>
  <c r="L8" i="13"/>
  <c r="L16" i="13" s="1"/>
  <c r="K8" i="13"/>
  <c r="K16" i="13" s="1"/>
  <c r="J8" i="13"/>
  <c r="I8" i="13"/>
  <c r="H8" i="13"/>
  <c r="H16" i="13" s="1"/>
  <c r="G8" i="13"/>
  <c r="G16" i="13" s="1"/>
  <c r="F8" i="13"/>
  <c r="F16" i="13" s="1"/>
  <c r="E8" i="13"/>
  <c r="E16" i="13" s="1"/>
  <c r="D8" i="13"/>
  <c r="D16" i="13" s="1"/>
  <c r="C8" i="13"/>
  <c r="H8" i="1"/>
  <c r="D9" i="15" l="1"/>
  <c r="C9" i="15"/>
  <c r="K9" i="15"/>
  <c r="L9" i="15"/>
  <c r="J9" i="15"/>
  <c r="M7" i="15"/>
  <c r="M8" i="15"/>
  <c r="N19" i="14"/>
  <c r="E8" i="14"/>
  <c r="E35" i="14" s="1"/>
  <c r="F8" i="14"/>
  <c r="F18" i="14" s="1"/>
  <c r="I8" i="14"/>
  <c r="G8" i="14"/>
  <c r="J8" i="14"/>
  <c r="H8" i="14"/>
  <c r="K8" i="14"/>
  <c r="D8" i="14"/>
  <c r="L8" i="14"/>
  <c r="I16" i="13"/>
  <c r="J16" i="13"/>
  <c r="C16" i="13"/>
  <c r="N8" i="13"/>
  <c r="H17" i="1"/>
  <c r="H16" i="1"/>
  <c r="H15" i="1"/>
  <c r="H14" i="1"/>
  <c r="H13" i="1"/>
  <c r="H12" i="1"/>
  <c r="H11" i="1"/>
  <c r="H10" i="1"/>
  <c r="H9" i="1"/>
  <c r="K7" i="1"/>
  <c r="O7" i="1" s="1"/>
  <c r="J7" i="1"/>
  <c r="C8" i="1"/>
  <c r="C9" i="1" s="1"/>
  <c r="C10" i="1" s="1"/>
  <c r="C11" i="1" s="1"/>
  <c r="C12" i="1" s="1"/>
  <c r="C13" i="1" s="1"/>
  <c r="C14" i="1" s="1"/>
  <c r="C15" i="1" s="1"/>
  <c r="C16" i="1" s="1"/>
  <c r="C17" i="1" s="1"/>
  <c r="N7" i="13" s="1"/>
  <c r="N7" i="14" s="1"/>
  <c r="N29" i="14" s="1"/>
  <c r="F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O9" i="15" l="1"/>
  <c r="D10" i="15"/>
  <c r="C10" i="15"/>
  <c r="F9" i="15"/>
  <c r="G9" i="15"/>
  <c r="K10" i="15"/>
  <c r="J10" i="15"/>
  <c r="L10" i="15"/>
  <c r="F35" i="14"/>
  <c r="E18" i="14"/>
  <c r="F8" i="1"/>
  <c r="C7" i="13"/>
  <c r="K8" i="1"/>
  <c r="N10" i="13"/>
  <c r="N18" i="13" s="1"/>
  <c r="L8" i="1"/>
  <c r="N16" i="13"/>
  <c r="N8" i="14"/>
  <c r="N9" i="13"/>
  <c r="L35" i="14"/>
  <c r="L18" i="14"/>
  <c r="I18" i="14"/>
  <c r="I35" i="14"/>
  <c r="D35" i="14"/>
  <c r="D18" i="14"/>
  <c r="J18" i="14"/>
  <c r="J35" i="14"/>
  <c r="K35" i="14"/>
  <c r="K18" i="14"/>
  <c r="C35" i="14"/>
  <c r="G18" i="14"/>
  <c r="G35" i="14"/>
  <c r="H18" i="14"/>
  <c r="H35" i="14"/>
  <c r="I7" i="1"/>
  <c r="N7" i="1" s="1"/>
  <c r="C5" i="12"/>
  <c r="D11" i="1"/>
  <c r="F7" i="13" s="1"/>
  <c r="D12" i="1"/>
  <c r="G7" i="13" s="1"/>
  <c r="D13" i="1"/>
  <c r="H7" i="13" s="1"/>
  <c r="D14" i="1"/>
  <c r="I7" i="13" s="1"/>
  <c r="J8" i="1"/>
  <c r="D9" i="14" s="1"/>
  <c r="D16" i="1"/>
  <c r="K7" i="13" s="1"/>
  <c r="D15" i="1"/>
  <c r="J7" i="13" s="1"/>
  <c r="D7" i="13"/>
  <c r="D17" i="1"/>
  <c r="D10" i="1"/>
  <c r="E7" i="13" s="1"/>
  <c r="G8" i="1"/>
  <c r="M7" i="1"/>
  <c r="D5" i="12" s="1"/>
  <c r="I8" i="1" l="1"/>
  <c r="N8" i="1" s="1"/>
  <c r="M8" i="1"/>
  <c r="R8" i="1" s="1"/>
  <c r="O10" i="15"/>
  <c r="O8" i="1"/>
  <c r="M9" i="15"/>
  <c r="C11" i="15"/>
  <c r="D11" i="15"/>
  <c r="L11" i="15"/>
  <c r="K11" i="15"/>
  <c r="J11" i="15"/>
  <c r="G10" i="15"/>
  <c r="F10" i="15"/>
  <c r="J7" i="14"/>
  <c r="J9" i="13"/>
  <c r="K7" i="14"/>
  <c r="K9" i="13"/>
  <c r="K10" i="13" s="1"/>
  <c r="K18" i="13" s="1"/>
  <c r="N21" i="14"/>
  <c r="D36" i="14"/>
  <c r="D32" i="14"/>
  <c r="I7" i="14"/>
  <c r="I9" i="13"/>
  <c r="C36" i="14"/>
  <c r="C32" i="14"/>
  <c r="E9" i="13"/>
  <c r="E7" i="14"/>
  <c r="G7" i="14"/>
  <c r="G9" i="13"/>
  <c r="G17" i="1"/>
  <c r="L7" i="13"/>
  <c r="F7" i="14"/>
  <c r="F9" i="13"/>
  <c r="N11" i="13"/>
  <c r="N17" i="13" s="1"/>
  <c r="N19" i="13" s="1"/>
  <c r="C7" i="14"/>
  <c r="C9" i="13"/>
  <c r="H7" i="14"/>
  <c r="H9" i="13"/>
  <c r="D9" i="13"/>
  <c r="D7" i="14"/>
  <c r="O35" i="14"/>
  <c r="N18" i="14"/>
  <c r="N10" i="14"/>
  <c r="N12" i="14" s="1"/>
  <c r="J9" i="1"/>
  <c r="K9" i="1"/>
  <c r="L9" i="1"/>
  <c r="G10" i="1"/>
  <c r="L12" i="15" l="1"/>
  <c r="K12" i="15"/>
  <c r="J12" i="15"/>
  <c r="O11" i="15"/>
  <c r="F11" i="15"/>
  <c r="G11" i="15"/>
  <c r="D12" i="15"/>
  <c r="C12" i="15"/>
  <c r="M10" i="15"/>
  <c r="K11" i="13"/>
  <c r="K17" i="13" s="1"/>
  <c r="K19" i="13" s="1"/>
  <c r="I29" i="14"/>
  <c r="C29" i="14"/>
  <c r="C10" i="14"/>
  <c r="C11" i="14" s="1"/>
  <c r="G29" i="14"/>
  <c r="H29" i="14"/>
  <c r="H10" i="13"/>
  <c r="H18" i="13" s="1"/>
  <c r="C10" i="13"/>
  <c r="C18" i="13" s="1"/>
  <c r="F10" i="13"/>
  <c r="F18" i="13" s="1"/>
  <c r="E10" i="13"/>
  <c r="E18" i="13" s="1"/>
  <c r="E29" i="14"/>
  <c r="M9" i="1"/>
  <c r="R9" i="1" s="1"/>
  <c r="D10" i="14"/>
  <c r="D29" i="14"/>
  <c r="F29" i="14"/>
  <c r="K29" i="14"/>
  <c r="G10" i="13"/>
  <c r="G18" i="13" s="1"/>
  <c r="K10" i="1"/>
  <c r="E9" i="14"/>
  <c r="D10" i="13"/>
  <c r="D18" i="13" s="1"/>
  <c r="L9" i="13"/>
  <c r="L7" i="14"/>
  <c r="J10" i="13"/>
  <c r="J18" i="13" s="1"/>
  <c r="I10" i="13"/>
  <c r="I18" i="13" s="1"/>
  <c r="J29" i="14"/>
  <c r="O9" i="1"/>
  <c r="J10" i="1"/>
  <c r="F9" i="14" s="1"/>
  <c r="F10" i="14" s="1"/>
  <c r="L10" i="1"/>
  <c r="N9" i="1"/>
  <c r="F10" i="1"/>
  <c r="G11" i="1"/>
  <c r="M10" i="1" l="1"/>
  <c r="M11" i="15"/>
  <c r="G12" i="15"/>
  <c r="F12" i="15"/>
  <c r="L13" i="15"/>
  <c r="J13" i="15"/>
  <c r="K13" i="15"/>
  <c r="O12" i="15"/>
  <c r="C13" i="15"/>
  <c r="D13" i="15"/>
  <c r="C11" i="13"/>
  <c r="C17" i="13" s="1"/>
  <c r="C19" i="13" s="1"/>
  <c r="I11" i="13"/>
  <c r="I17" i="13" s="1"/>
  <c r="I19" i="13" s="1"/>
  <c r="J11" i="13"/>
  <c r="J17" i="13" s="1"/>
  <c r="J19" i="13" s="1"/>
  <c r="G11" i="13"/>
  <c r="G17" i="13" s="1"/>
  <c r="G19" i="13" s="1"/>
  <c r="E11" i="13"/>
  <c r="E17" i="13" s="1"/>
  <c r="E19" i="13" s="1"/>
  <c r="F11" i="14"/>
  <c r="F21" i="14" s="1"/>
  <c r="D11" i="13"/>
  <c r="D17" i="13" s="1"/>
  <c r="D19" i="13" s="1"/>
  <c r="F11" i="13"/>
  <c r="F17" i="13" s="1"/>
  <c r="F19" i="13" s="1"/>
  <c r="H34" i="14"/>
  <c r="H31" i="14"/>
  <c r="D11" i="14"/>
  <c r="D21" i="14" s="1"/>
  <c r="G31" i="14"/>
  <c r="G34" i="14"/>
  <c r="J31" i="14"/>
  <c r="J34" i="14"/>
  <c r="F31" i="14"/>
  <c r="F34" i="14"/>
  <c r="D34" i="14"/>
  <c r="D31" i="14"/>
  <c r="D33" i="14" s="1"/>
  <c r="C21" i="14"/>
  <c r="E32" i="14"/>
  <c r="E36" i="14"/>
  <c r="E31" i="14"/>
  <c r="E34" i="14"/>
  <c r="C34" i="14"/>
  <c r="C31" i="14"/>
  <c r="C33" i="14" s="1"/>
  <c r="L29" i="14"/>
  <c r="E10" i="14"/>
  <c r="H11" i="13"/>
  <c r="H17" i="13" s="1"/>
  <c r="H19" i="13" s="1"/>
  <c r="F32" i="14"/>
  <c r="F36" i="14"/>
  <c r="L10" i="13"/>
  <c r="L18" i="13" s="1"/>
  <c r="O9" i="13"/>
  <c r="K34" i="14"/>
  <c r="K31" i="14"/>
  <c r="I34" i="14"/>
  <c r="I31" i="14"/>
  <c r="K11" i="1"/>
  <c r="L11" i="1"/>
  <c r="J11" i="1"/>
  <c r="G9" i="14" s="1"/>
  <c r="O10" i="1"/>
  <c r="I10" i="1"/>
  <c r="N10" i="1" s="1"/>
  <c r="G12" i="1"/>
  <c r="F11" i="1"/>
  <c r="L14" i="15" l="1"/>
  <c r="K14" i="15"/>
  <c r="J14" i="15"/>
  <c r="C14" i="15"/>
  <c r="D14" i="15"/>
  <c r="M12" i="15"/>
  <c r="F13" i="15"/>
  <c r="G13" i="15"/>
  <c r="O13" i="15"/>
  <c r="O11" i="1"/>
  <c r="C37" i="14"/>
  <c r="L11" i="13"/>
  <c r="O11" i="13" s="1"/>
  <c r="D37" i="14"/>
  <c r="E33" i="14"/>
  <c r="E37" i="14" s="1"/>
  <c r="D12" i="14"/>
  <c r="D20" i="14" s="1"/>
  <c r="D22" i="14" s="1"/>
  <c r="F33" i="14"/>
  <c r="F37" i="14" s="1"/>
  <c r="G32" i="14"/>
  <c r="G33" i="14" s="1"/>
  <c r="G36" i="14"/>
  <c r="G10" i="14"/>
  <c r="E11" i="14"/>
  <c r="E21" i="14" s="1"/>
  <c r="C12" i="14"/>
  <c r="C22" i="14" s="1"/>
  <c r="F12" i="14"/>
  <c r="F20" i="14" s="1"/>
  <c r="F22" i="14" s="1"/>
  <c r="L31" i="14"/>
  <c r="L34" i="14"/>
  <c r="O34" i="14" s="1"/>
  <c r="K12" i="1"/>
  <c r="L12" i="1"/>
  <c r="J12" i="1"/>
  <c r="H9" i="14" s="1"/>
  <c r="M11" i="1"/>
  <c r="I11" i="1"/>
  <c r="N11" i="1" s="1"/>
  <c r="G13" i="1"/>
  <c r="F12" i="1"/>
  <c r="M12" i="1" l="1"/>
  <c r="M13" i="15"/>
  <c r="G14" i="15"/>
  <c r="F14" i="15"/>
  <c r="D15" i="15"/>
  <c r="C15" i="15"/>
  <c r="J15" i="15"/>
  <c r="L15" i="15"/>
  <c r="K15" i="15"/>
  <c r="O14" i="15"/>
  <c r="L17" i="13"/>
  <c r="O17" i="13" s="1"/>
  <c r="G37" i="14"/>
  <c r="H32" i="14"/>
  <c r="H33" i="14" s="1"/>
  <c r="H36" i="14"/>
  <c r="H10" i="14"/>
  <c r="E12" i="14"/>
  <c r="E20" i="14" s="1"/>
  <c r="E22" i="14" s="1"/>
  <c r="G11" i="14"/>
  <c r="G21" i="14" s="1"/>
  <c r="O31" i="14"/>
  <c r="K13" i="1"/>
  <c r="J13" i="1"/>
  <c r="I9" i="14" s="1"/>
  <c r="L13" i="1"/>
  <c r="O12" i="1"/>
  <c r="F13" i="1"/>
  <c r="G14" i="1"/>
  <c r="I12" i="1"/>
  <c r="N12" i="1" s="1"/>
  <c r="O15" i="15" l="1"/>
  <c r="L19" i="13"/>
  <c r="O19" i="13" s="1"/>
  <c r="D16" i="15"/>
  <c r="C16" i="15"/>
  <c r="G15" i="15"/>
  <c r="F15" i="15"/>
  <c r="M14" i="15"/>
  <c r="J16" i="15"/>
  <c r="L16" i="15"/>
  <c r="K16" i="15"/>
  <c r="G12" i="14"/>
  <c r="G20" i="14" s="1"/>
  <c r="G22" i="14" s="1"/>
  <c r="H11" i="14"/>
  <c r="H21" i="14" s="1"/>
  <c r="I36" i="14"/>
  <c r="I32" i="14"/>
  <c r="I33" i="14" s="1"/>
  <c r="I10" i="14"/>
  <c r="H37" i="14"/>
  <c r="K14" i="1"/>
  <c r="L14" i="1"/>
  <c r="J14" i="1"/>
  <c r="J9" i="14" s="1"/>
  <c r="O13" i="1"/>
  <c r="F14" i="1"/>
  <c r="G15" i="1"/>
  <c r="I13" i="1"/>
  <c r="N13" i="1" s="1"/>
  <c r="M13" i="1"/>
  <c r="G16" i="15" l="1"/>
  <c r="M15" i="15"/>
  <c r="O16" i="15"/>
  <c r="O6" i="15" s="1"/>
  <c r="K18" i="15"/>
  <c r="F16" i="15"/>
  <c r="I37" i="14"/>
  <c r="I11" i="14"/>
  <c r="I21" i="14" s="1"/>
  <c r="H12" i="14"/>
  <c r="H20" i="14" s="1"/>
  <c r="H22" i="14" s="1"/>
  <c r="J32" i="14"/>
  <c r="J33" i="14" s="1"/>
  <c r="J36" i="14"/>
  <c r="J10" i="14"/>
  <c r="K15" i="1"/>
  <c r="L15" i="1"/>
  <c r="J15" i="1"/>
  <c r="K9" i="14" s="1"/>
  <c r="O14" i="1"/>
  <c r="F15" i="1"/>
  <c r="M14" i="1"/>
  <c r="I14" i="1"/>
  <c r="N14" i="1" s="1"/>
  <c r="G16" i="1"/>
  <c r="M16" i="15" l="1"/>
  <c r="M18" i="15" s="1"/>
  <c r="F18" i="15"/>
  <c r="J11" i="14"/>
  <c r="J21" i="14" s="1"/>
  <c r="J37" i="14"/>
  <c r="K36" i="14"/>
  <c r="K32" i="14"/>
  <c r="K33" i="14" s="1"/>
  <c r="K10" i="14"/>
  <c r="I12" i="14"/>
  <c r="I20" i="14" s="1"/>
  <c r="I22" i="14" s="1"/>
  <c r="O15" i="1"/>
  <c r="K16" i="1"/>
  <c r="J16" i="1"/>
  <c r="L9" i="14" s="1"/>
  <c r="L16" i="1"/>
  <c r="F16" i="1"/>
  <c r="M15" i="1"/>
  <c r="I15" i="1"/>
  <c r="N15" i="1" s="1"/>
  <c r="D37" i="15" l="1"/>
  <c r="D41" i="15" s="1"/>
  <c r="I6" i="15" s="1"/>
  <c r="I18" i="15" s="1"/>
  <c r="K37" i="14"/>
  <c r="L36" i="14"/>
  <c r="O36" i="14" s="1"/>
  <c r="L32" i="14"/>
  <c r="L33" i="14" s="1"/>
  <c r="L10" i="14"/>
  <c r="O10" i="14" s="1"/>
  <c r="J12" i="14"/>
  <c r="J20" i="14" s="1"/>
  <c r="J22" i="14" s="1"/>
  <c r="K11" i="14"/>
  <c r="K21" i="14" s="1"/>
  <c r="O16" i="1"/>
  <c r="K17" i="1"/>
  <c r="J17" i="1"/>
  <c r="N32" i="14" s="1"/>
  <c r="L17" i="1"/>
  <c r="M16" i="1"/>
  <c r="I16" i="1"/>
  <c r="N16" i="1" s="1"/>
  <c r="F17" i="1"/>
  <c r="D38" i="15" l="1"/>
  <c r="L11" i="14"/>
  <c r="L21" i="14" s="1"/>
  <c r="O33" i="14"/>
  <c r="L37" i="14"/>
  <c r="O37" i="14" s="1"/>
  <c r="K12" i="14"/>
  <c r="K20" i="14" s="1"/>
  <c r="K22" i="14" s="1"/>
  <c r="C6" i="12"/>
  <c r="O17" i="1"/>
  <c r="O19" i="1" s="1"/>
  <c r="K19" i="1"/>
  <c r="I17" i="1"/>
  <c r="M17" i="1"/>
  <c r="M19" i="1" s="1"/>
  <c r="N26" i="15" l="1"/>
  <c r="L12" i="14"/>
  <c r="O12" i="14" s="1"/>
  <c r="D6" i="12"/>
  <c r="N17" i="1"/>
  <c r="N19" i="1" s="1"/>
  <c r="I19" i="1"/>
  <c r="L20" i="14" l="1"/>
  <c r="L22" i="14" s="1"/>
  <c r="O22" i="14" s="1"/>
  <c r="C7" i="12"/>
  <c r="C8" i="12" s="1"/>
  <c r="D7" i="12"/>
  <c r="D8" i="12" s="1"/>
  <c r="I7" i="15" l="1"/>
  <c r="Q7" i="15"/>
  <c r="I14" i="15"/>
  <c r="N14" i="15" s="1"/>
  <c r="Q14" i="15"/>
  <c r="I11" i="15"/>
  <c r="N11" i="15" s="1"/>
  <c r="Q11" i="15"/>
  <c r="I15" i="15"/>
  <c r="N15" i="15" s="1"/>
  <c r="Q15" i="15"/>
  <c r="I10" i="15"/>
  <c r="N10" i="15" s="1"/>
  <c r="I16" i="15"/>
  <c r="N16" i="15" s="1"/>
  <c r="Q16" i="15"/>
  <c r="I12" i="15"/>
  <c r="N12" i="15" s="1"/>
  <c r="Q12" i="15"/>
  <c r="I8" i="15"/>
  <c r="N8" i="15" s="1"/>
  <c r="Q8" i="15"/>
  <c r="I13" i="15"/>
  <c r="N13" i="15" s="1"/>
  <c r="Q13" i="15"/>
  <c r="I9" i="15"/>
  <c r="N9" i="15" s="1"/>
  <c r="Q9" i="15"/>
  <c r="O20" i="14"/>
  <c r="N7" i="15" l="1"/>
  <c r="R18" i="15"/>
  <c r="S25" i="15" s="1"/>
  <c r="R8" i="15"/>
  <c r="S8" i="15" s="1"/>
  <c r="R14" i="15"/>
  <c r="N18" i="15"/>
  <c r="S7" i="15"/>
  <c r="R16" i="15"/>
  <c r="S16" i="15" s="1"/>
  <c r="R24" i="15"/>
  <c r="Q6" i="15"/>
  <c r="R6" i="15" s="1"/>
  <c r="S6" i="15" s="1"/>
  <c r="R15" i="15"/>
  <c r="S15" i="15" s="1"/>
  <c r="R12" i="15"/>
  <c r="S12" i="15" s="1"/>
  <c r="R11" i="15"/>
  <c r="S11" i="15" s="1"/>
  <c r="S14" i="15"/>
  <c r="R9" i="15"/>
  <c r="S9" i="15" s="1"/>
  <c r="R13" i="15"/>
  <c r="S13" i="15" s="1"/>
  <c r="R10" i="15"/>
  <c r="S10" i="15" s="1"/>
  <c r="S18" i="15" l="1"/>
  <c r="S26" i="15" s="1"/>
  <c r="N22" i="15"/>
  <c r="R26" i="15"/>
  <c r="R25" i="15"/>
  <c r="N24" i="15" l="1"/>
  <c r="N27" i="15"/>
</calcChain>
</file>

<file path=xl/sharedStrings.xml><?xml version="1.0" encoding="utf-8"?>
<sst xmlns="http://schemas.openxmlformats.org/spreadsheetml/2006/main" count="281" uniqueCount="214">
  <si>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</si>
  <si>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</si>
  <si>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</si>
  <si>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</si>
  <si>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</si>
  <si>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</si>
  <si>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</si>
  <si>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</si>
  <si>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</si>
  <si>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</si>
  <si>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</si>
  <si>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</si>
  <si>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</si>
  <si>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(4)-(5)+(6)</t>
  </si>
  <si>
    <t>(4)-(9)</t>
  </si>
  <si>
    <t>(7)-(9)+(10)</t>
  </si>
  <si>
    <t>(9)-(10)</t>
  </si>
  <si>
    <t>Year</t>
  </si>
  <si>
    <t>EATCF</t>
  </si>
  <si>
    <t>Year:</t>
  </si>
  <si>
    <t>Oper.</t>
  </si>
  <si>
    <t>Reversion</t>
  </si>
  <si>
    <t>Rever.</t>
  </si>
  <si>
    <t>Total</t>
  </si>
  <si>
    <t>Operating:</t>
  </si>
  <si>
    <t>Yr.10</t>
  </si>
  <si>
    <t>Item</t>
  </si>
  <si>
    <t>Accrual Items:</t>
  </si>
  <si>
    <t>Sale Price</t>
  </si>
  <si>
    <t>- Book Val</t>
  </si>
  <si>
    <t>=Book Gain</t>
  </si>
  <si>
    <t>Adjusting Accrual to Reflect Cash Flow:</t>
  </si>
  <si>
    <t>+ Book Val</t>
  </si>
  <si>
    <t>PATCF</t>
  </si>
  <si>
    <t>=PBTCF</t>
  </si>
  <si>
    <t>Item:</t>
  </si>
  <si>
    <t>-LoanBal</t>
  </si>
  <si>
    <t>=EATCF</t>
  </si>
  <si>
    <t>=EBTCF</t>
  </si>
  <si>
    <t>taxMktGain</t>
  </si>
  <si>
    <t>Property Value</t>
  </si>
  <si>
    <t>Depreciation Tax Shield (DTS)</t>
  </si>
  <si>
    <t>Interest Tax Shield (ITS)</t>
  </si>
  <si>
    <t>Loan Balance</t>
  </si>
  <si>
    <t>Appreciation Rate</t>
  </si>
  <si>
    <t>Input Name</t>
  </si>
  <si>
    <t>Input Value</t>
  </si>
  <si>
    <t>Yield</t>
  </si>
  <si>
    <t>Income Tax Rate</t>
  </si>
  <si>
    <t>Bldg.Val/Prop.Val</t>
  </si>
  <si>
    <t>Depreciable Life (Years)</t>
  </si>
  <si>
    <t>Capital Gains Tax Rate</t>
  </si>
  <si>
    <t>Depreciation Recapture Rate</t>
  </si>
  <si>
    <t>Loan Amount</t>
  </si>
  <si>
    <t>Interest Rate</t>
  </si>
  <si>
    <t>Yearly Amortization</t>
  </si>
  <si>
    <t>Date:</t>
  </si>
  <si>
    <t>Owner:</t>
  </si>
  <si>
    <t>Contact information:</t>
  </si>
  <si>
    <t>Purpose:</t>
  </si>
  <si>
    <t>Notes:</t>
  </si>
  <si>
    <t>Updates</t>
  </si>
  <si>
    <t>Note</t>
  </si>
  <si>
    <t>Initial version (v1) of Commercial Real Estate Ch 14 spreadsheet released</t>
  </si>
  <si>
    <t>If you see any mistakes, please email me at zak@theinfiniteactuary.com</t>
  </si>
  <si>
    <t>Zak Fischer</t>
  </si>
  <si>
    <t>zak@theinfiniteactuary.com</t>
  </si>
  <si>
    <t>Shows detailed walkthrough of real estate calculations for Comm. Real Estate Ch. 14</t>
  </si>
  <si>
    <t>-Tax (Before Shields)</t>
  </si>
  <si>
    <t>Depreciation Tax Shield (DTS) = Depreciation Expense * Income Tax Rate = 10,181.82</t>
  </si>
  <si>
    <t>Depreciation Expense (DE) = Cost Basis / Straight Line Years = 800,000 / 27.5 = 29,090.91</t>
  </si>
  <si>
    <t>Depreciation Calculations:</t>
  </si>
  <si>
    <t>Interest Calculations (Year 1):</t>
  </si>
  <si>
    <t>Interest Expense = Loan Amount * Loan Interest Rate = 750,000 * 5.5% = 41,250</t>
  </si>
  <si>
    <t>Interest Tax Shield (ITS) = Interest Expense * Income Tax Rate = 41,250 * 35% = 14,437.50</t>
  </si>
  <si>
    <t>+ Depreciation Tax Shield (DTS)*</t>
  </si>
  <si>
    <t>+ Interest Tax Shield (ITS)*</t>
  </si>
  <si>
    <t>*Note: See "Additional Notes" tab for further details about these calculations</t>
  </si>
  <si>
    <t>Hard-coded assumption of 50,000 capital expenditures in years 3 and 8 only</t>
  </si>
  <si>
    <t>Risk Profile:</t>
  </si>
  <si>
    <t>-The spreadsheet splits out columns of similar risk profiles near each other</t>
  </si>
  <si>
    <t>-Items (4), (5), and (7) are moderate risk [unlevered property cash flows]</t>
  </si>
  <si>
    <t>-Items (6), (9), (10) and (13) contain lower levels of risk [contractual/debt-like cash flows]</t>
  </si>
  <si>
    <t>-Items (11) and (12) contain the most risk [levered equity cash flows]</t>
  </si>
  <si>
    <t>Please see below for further clarification comments:</t>
  </si>
  <si>
    <t>Internal Rate of Return (IRR) could also be referred to as "property level returns", "unlevered returns", or "free-and-clear returns"</t>
  </si>
  <si>
    <t>Property (Unlevered)</t>
  </si>
  <si>
    <t>Equity (Levered)</t>
  </si>
  <si>
    <t>Before-Tax</t>
  </si>
  <si>
    <t>After-Tax</t>
  </si>
  <si>
    <t>Effective Tax Rate</t>
  </si>
  <si>
    <t>Initial Investment</t>
  </si>
  <si>
    <t>- Property-level before tax (PBT) IRR = 6.04%</t>
  </si>
  <si>
    <t>- Initial equity investment is 250k, which is the original price minus the loan amount</t>
  </si>
  <si>
    <t>- Levered equity before tax IRR = 7.40%</t>
  </si>
  <si>
    <t>- Property-level after tax (PBT) IRR = 4.34% [after income tax, ignores any debt on the property]</t>
  </si>
  <si>
    <t>- Levered equity after tax IRR = 6.44%</t>
  </si>
  <si>
    <t>- As expected, before-tax returns are higher than the after-tax return. This is because income taxes reduce investor's investment earnings.</t>
  </si>
  <si>
    <t>- Levered equity returns are higher than the unlevered property-level returns, due to the effect of positive leverage</t>
  </si>
  <si>
    <t>Next, compare the relative ranking of the bolded IRRs:</t>
  </si>
  <si>
    <t>- The leverage has a positive effect because the property-level before-tax return of 6.04% exceeds the interest rate of 5.5%</t>
  </si>
  <si>
    <t>Effective Tax Rate:</t>
  </si>
  <si>
    <t>Effective tax rate is a blend of the 35 percent ordinary income tax rate, the 15 percent capital gains tax rate, and the 25 percent recapture rate.</t>
  </si>
  <si>
    <t>Leverage reduces the effective tax rate from 28% down to only 13%</t>
  </si>
  <si>
    <t>Two reasons for the reduction in the effective tax rate:</t>
  </si>
  <si>
    <t>Leverage shifts the composition of the investor’s IRR away from ordinary income (35%) and towards the capital gain component (15%)</t>
  </si>
  <si>
    <t>Leverage magnifies the effect of the depreciation tax shields</t>
  </si>
  <si>
    <t>- The equity IRRs have higher risk and higher return than the unlevered property IRRs</t>
  </si>
  <si>
    <t>Net Operating Income (NOI)</t>
  </si>
  <si>
    <t xml:space="preserve"> =Net Income (Before Tax)</t>
  </si>
  <si>
    <t>=Net Income (After Tax)</t>
  </si>
  <si>
    <t>- Income Tax</t>
  </si>
  <si>
    <t>Net Operating Income</t>
  </si>
  <si>
    <t>Operating</t>
  </si>
  <si>
    <t>+ Income Tax</t>
  </si>
  <si>
    <t>- Depreciation Expense</t>
  </si>
  <si>
    <t xml:space="preserve"> -Interest Expense</t>
  </si>
  <si>
    <t xml:space="preserve"> + Depreciation Expense</t>
  </si>
  <si>
    <t>- Capital Improvement Expenditures</t>
  </si>
  <si>
    <t xml:space="preserve"> - Debt Amortization</t>
  </si>
  <si>
    <t>= Equity After-Tax Cash Flows (EATCF)</t>
  </si>
  <si>
    <t>= Equity Before-Tax Cash Flows (EBTCF)</t>
  </si>
  <si>
    <t>- Debt Service (Principal &amp; Interest)</t>
  </si>
  <si>
    <t>Alternative Equity Cash Flow Format</t>
  </si>
  <si>
    <t>Adjusting Accrual to Reflect Cash Flow</t>
  </si>
  <si>
    <t>After-Tax Income</t>
  </si>
  <si>
    <t>- Captital Gains Tax</t>
  </si>
  <si>
    <t>=Gain (After Tax)</t>
  </si>
  <si>
    <t>+Captital Gains Tax</t>
  </si>
  <si>
    <t>- Acc. Depreciation Component</t>
  </si>
  <si>
    <t>- Loan Balance</t>
  </si>
  <si>
    <t>Property (Before-Debt) Proforma</t>
  </si>
  <si>
    <t>+ Captital Gains Tax</t>
  </si>
  <si>
    <t>Summary of Key Metrics:</t>
  </si>
  <si>
    <t>IRR:</t>
  </si>
  <si>
    <t>Tax (Before Shields)</t>
  </si>
  <si>
    <t>Capital Improvements</t>
  </si>
  <si>
    <t>Loan After-Tax Cash Flow</t>
  </si>
  <si>
    <t>Item #</t>
  </si>
  <si>
    <t>Equation Notes</t>
  </si>
  <si>
    <t>Capital Improvements (CI)</t>
  </si>
  <si>
    <t>Property-Level Before Tax Cash Flows (PBTCF)</t>
  </si>
  <si>
    <t>Property-Level After Tax Cash Flows (PATCF)</t>
  </si>
  <si>
    <t>This is the main calculation tab which shows the property and equity cash flows before and after-tax, as well as the IRRs:</t>
  </si>
  <si>
    <t>Debt Service (Interest &amp; Principal)</t>
  </si>
  <si>
    <t>Equity Before Tax Cash Flows (EBTCF)</t>
  </si>
  <si>
    <t>Equity After Tax Cash Flows (EATCF)</t>
  </si>
  <si>
    <t>+ Depreciation Expense</t>
  </si>
  <si>
    <t>= Property Net Income Before Tax (PNIBT)</t>
  </si>
  <si>
    <t>= Property Net Income After Tax (PNIAT)</t>
  </si>
  <si>
    <t>= Property After Tax Cash Flows (PATCF)</t>
  </si>
  <si>
    <t>= Property Before Tax Cash Flows (PBTCF)</t>
  </si>
  <si>
    <t>- Book Value</t>
  </si>
  <si>
    <t>+ Book Value</t>
  </si>
  <si>
    <t>PV(Depreciation Tax Shield)</t>
  </si>
  <si>
    <t>PV(Marginal)</t>
  </si>
  <si>
    <t>Debt Market Marginal Tax Rate</t>
  </si>
  <si>
    <t>Fixed</t>
  </si>
  <si>
    <t>Risky</t>
  </si>
  <si>
    <t>Total = EATCF</t>
  </si>
  <si>
    <t>Splitting Up into Fixed &amp; Risky Cash Flow Streams</t>
  </si>
  <si>
    <t>PV</t>
  </si>
  <si>
    <t>Discount Rate</t>
  </si>
  <si>
    <t>The total PV is approximately equal to the sum of the fixed and risky PV's</t>
  </si>
  <si>
    <t>Property</t>
  </si>
  <si>
    <t>Loan</t>
  </si>
  <si>
    <t>Investment Value Calculation</t>
  </si>
  <si>
    <t>Implied Investment Value of Property</t>
  </si>
  <si>
    <t>PV(EATCF)</t>
  </si>
  <si>
    <t>Marginal PV Property - Marginal PV Loan</t>
  </si>
  <si>
    <t>APV</t>
  </si>
  <si>
    <t>PBT Approach</t>
  </si>
  <si>
    <t>Current Market Return</t>
  </si>
  <si>
    <t>&lt;- an input from research on property markets</t>
  </si>
  <si>
    <t>Assuming the investor is marginal in the property market</t>
  </si>
  <si>
    <t>Assuming the investor is intramarginal in the debt market (e.g. higher effective tax rate than marginal investors)</t>
  </si>
  <si>
    <t>Due to the higher effective tax rate, this will put us on the "sell/borrow" side of the debt market, giving a positive NPV for borrowing (similar to the Clarence example)</t>
  </si>
  <si>
    <t xml:space="preserve">Our Investor in Mortgage Market: 35% effective tax rate </t>
  </si>
  <si>
    <t xml:space="preserve">Marginal Investor in Mortgage Market: 25% effective tax rate </t>
  </si>
  <si>
    <t>Assume APV = 0</t>
  </si>
  <si>
    <t>&lt;- Loan has positive NPV</t>
  </si>
  <si>
    <t>APV = 0 = NPV(Property) + NPV (Financing)</t>
  </si>
  <si>
    <t>NPV(Financing)</t>
  </si>
  <si>
    <t>NPV(Property)</t>
  </si>
  <si>
    <t>APV = NPV(Property) + NPV(Financing)</t>
  </si>
  <si>
    <t>&lt;- PV Loan Obligation Payments</t>
  </si>
  <si>
    <t>&lt;- Value of Property itself without any debt to the marginal investor</t>
  </si>
  <si>
    <t>NPV(Property) = Marginal Property Value - Market Price = 967,119 - 1,000,000 = -32,881</t>
  </si>
  <si>
    <t>NPV(Financing) = Loan Amount - PV Loan Obligation Payments = 750,000 - 717,119 = 32,881</t>
  </si>
  <si>
    <t>Contractual/Statutory</t>
  </si>
  <si>
    <t>Subject to volatility of rental/property markets</t>
  </si>
  <si>
    <t>If there is a material discrepancy between Q+R and S, this suggests some sort of profit opportunity across the markets for property and debt</t>
  </si>
  <si>
    <t>However, there are typically trading costs so it is difficult to immediately arbitrage differences away</t>
  </si>
  <si>
    <t>Doing both the Fixed + Risky and Total computations gives a helpful cross-check</t>
  </si>
  <si>
    <t>Valuing in components (fixed + risky) works well in more complex frameworks</t>
  </si>
  <si>
    <t>Notes</t>
  </si>
  <si>
    <t>Market Price of Property</t>
  </si>
  <si>
    <t>Time</t>
  </si>
  <si>
    <t>PBTCF</t>
  </si>
  <si>
    <t>Projects</t>
  </si>
  <si>
    <t>Before-Tax Discount Rate</t>
  </si>
  <si>
    <t>After-Tax Discount Rate</t>
  </si>
  <si>
    <t>Comparable Project?</t>
  </si>
  <si>
    <t>Yes</t>
  </si>
  <si>
    <t>No</t>
  </si>
  <si>
    <t>PBT Discount Rate</t>
  </si>
  <si>
    <t>List of Other Projects from Market Research:</t>
  </si>
  <si>
    <t>Step #1) Determine the appropriate discount rate</t>
  </si>
  <si>
    <t>Step #2) Discount cash flows to get property value</t>
  </si>
  <si>
    <t>PBTCF - Tax (Before Shield) - DTS</t>
  </si>
  <si>
    <t>PBTCF - Debt Service</t>
  </si>
  <si>
    <t>Taxes</t>
  </si>
  <si>
    <t>&lt;-- Note: This is the yearly principal payment (i.e. the loan balance will be 750k - 2k = 748k after year 1)</t>
  </si>
  <si>
    <t>Added a clarification note in cell D17 of the Inputs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</si>
</sst>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_)"/>
    <numFmt numFmtId="166" formatCode="&quot;$&quot;#,##0"/>
    <numFmt numFmtId="167" formatCode="#,##0.000_);\(#,##0.000\)"/>
    <numFmt numFmtId="168" formatCode="_(&quot;$&quot;* #,##0_);_(&quot;$&quot;* \(#,##0\);_(&quot;$&quot;* &quot;-&quot;??_);_(@_)"/>
    <numFmt numFmtId="169" formatCode="_(* #,##0_);_(* \(#,##0\);_(* &quot;-&quot;??_);_(@_)"/>
  </numFmts>
  <fonts count="22">
    <font>
      <sz val="12"/>
      <name val="Arial MT"/>
    </font>
    <font>
      <sz val="10"/>
      <name val="Arial"/>
      <family val="2"/>
    </font>
    <font>
      <u/>
      <sz val="6"/>
      <color indexed="12"/>
      <name val="Arial MT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u/>
      <sz val="12"/>
      <color indexed="12"/>
      <name val="Arial MT"/>
    </font>
    <font>
      <u/>
      <sz val="12"/>
      <name val="Arial MT"/>
    </font>
    <font>
      <b/>
      <sz val="12"/>
      <name val="Arial MT"/>
    </font>
    <font>
      <b/>
      <u/>
      <sz val="12"/>
      <name val="Arial MT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Arial MT"/>
    </font>
    <font>
      <sz val="12"/>
      <color indexed="14"/>
      <name val="Arial MT"/>
    </font>
    <font>
      <sz val="10"/>
      <name val="Times New Roman"/>
      <family val="1"/>
    </font>
    <font>
      <sz val="9"/>
      <name val="Times New Roman"/>
      <family val="1"/>
    </font>
    <font>
      <i/>
      <sz val="12"/>
      <name val="Arial MT"/>
    </font>
    <font>
      <i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20F0"/>
        <bgColor indexed="64"/>
      </patternFill>
    </fill>
    <fill>
      <patternFill patternType="solid">
        <fgColor rgb="FF00CACB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5" fontId="0" fillId="0" borderId="0" xfId="0" applyNumberFormat="1"/>
    <xf numFmtId="0" fontId="0" fillId="0" borderId="0" xfId="0" applyBorder="1"/>
    <xf numFmtId="5" fontId="3" fillId="0" borderId="0" xfId="0" applyNumberFormat="1" applyFont="1" applyProtection="1"/>
    <xf numFmtId="0" fontId="3" fillId="0" borderId="0" xfId="0" applyFont="1"/>
    <xf numFmtId="10" fontId="3" fillId="0" borderId="0" xfId="0" applyNumberFormat="1" applyFont="1"/>
    <xf numFmtId="10" fontId="3" fillId="0" borderId="0" xfId="0" applyNumberFormat="1" applyFont="1" applyProtection="1"/>
    <xf numFmtId="5" fontId="3" fillId="0" borderId="0" xfId="0" applyNumberFormat="1" applyFont="1" applyAlignment="1" applyProtection="1">
      <alignment horizontal="right"/>
    </xf>
    <xf numFmtId="0" fontId="3" fillId="0" borderId="0" xfId="0" applyFont="1" applyAlignment="1">
      <alignment horizontal="left"/>
    </xf>
    <xf numFmtId="2" fontId="3" fillId="0" borderId="0" xfId="0" applyNumberFormat="1" applyFont="1"/>
    <xf numFmtId="10" fontId="3" fillId="0" borderId="0" xfId="0" quotePrefix="1" applyNumberFormat="1" applyFont="1"/>
    <xf numFmtId="5" fontId="3" fillId="0" borderId="0" xfId="0" applyNumberFormat="1" applyFont="1" applyAlignment="1" applyProtection="1">
      <alignment horizontal="center"/>
    </xf>
    <xf numFmtId="0" fontId="3" fillId="0" borderId="0" xfId="0" quotePrefix="1" applyFont="1"/>
    <xf numFmtId="5" fontId="3" fillId="0" borderId="0" xfId="0" applyNumberFormat="1" applyFont="1" applyAlignment="1" applyProtection="1">
      <alignment horizontal="left"/>
    </xf>
    <xf numFmtId="5" fontId="3" fillId="0" borderId="0" xfId="0" quotePrefix="1" applyNumberFormat="1" applyFont="1" applyAlignment="1" applyProtection="1">
      <alignment horizontal="right"/>
    </xf>
    <xf numFmtId="0" fontId="3" fillId="0" borderId="0" xfId="0" applyFont="1" applyAlignment="1">
      <alignment horizontal="right"/>
    </xf>
    <xf numFmtId="8" fontId="3" fillId="0" borderId="0" xfId="0" applyNumberFormat="1" applyFont="1" applyAlignment="1">
      <alignment horizontal="right"/>
    </xf>
    <xf numFmtId="165" fontId="3" fillId="0" borderId="0" xfId="0" applyNumberFormat="1" applyFont="1" applyProtection="1"/>
    <xf numFmtId="5" fontId="3" fillId="0" borderId="0" xfId="0" applyNumberFormat="1" applyFont="1"/>
    <xf numFmtId="166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5" fillId="0" borderId="0" xfId="0" applyFont="1"/>
    <xf numFmtId="10" fontId="3" fillId="0" borderId="0" xfId="0" applyNumberFormat="1" applyFont="1" applyAlignment="1" applyProtection="1">
      <alignment horizontal="center"/>
    </xf>
    <xf numFmtId="10" fontId="6" fillId="0" borderId="0" xfId="0" applyNumberFormat="1" applyFont="1" applyProtection="1"/>
    <xf numFmtId="164" fontId="6" fillId="0" borderId="0" xfId="0" applyNumberFormat="1" applyFont="1" applyProtection="1"/>
    <xf numFmtId="5" fontId="6" fillId="0" borderId="0" xfId="0" applyNumberFormat="1" applyFont="1" applyProtection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4" fontId="7" fillId="0" borderId="0" xfId="0" applyNumberFormat="1" applyFont="1"/>
    <xf numFmtId="0" fontId="7" fillId="0" borderId="0" xfId="0" applyFont="1" applyAlignment="1">
      <alignment wrapText="1"/>
    </xf>
    <xf numFmtId="0" fontId="9" fillId="0" borderId="0" xfId="0" applyFont="1"/>
    <xf numFmtId="0" fontId="10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9" fontId="0" fillId="0" borderId="0" xfId="2" applyFont="1"/>
    <xf numFmtId="10" fontId="12" fillId="0" borderId="0" xfId="0" applyNumberFormat="1" applyFont="1"/>
    <xf numFmtId="0" fontId="3" fillId="0" borderId="0" xfId="0" applyFont="1" applyBorder="1"/>
    <xf numFmtId="5" fontId="3" fillId="0" borderId="0" xfId="0" applyNumberFormat="1" applyFont="1" applyBorder="1" applyProtection="1"/>
    <xf numFmtId="10" fontId="3" fillId="0" borderId="0" xfId="0" applyNumberFormat="1" applyFont="1" applyBorder="1" applyProtection="1"/>
    <xf numFmtId="5" fontId="3" fillId="0" borderId="0" xfId="0" applyNumberFormat="1" applyFont="1" applyBorder="1" applyAlignment="1" applyProtection="1">
      <alignment horizontal="right"/>
    </xf>
    <xf numFmtId="167" fontId="3" fillId="0" borderId="0" xfId="0" applyNumberFormat="1" applyFont="1" applyBorder="1" applyProtection="1"/>
    <xf numFmtId="5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right"/>
    </xf>
    <xf numFmtId="5" fontId="3" fillId="2" borderId="0" xfId="0" applyNumberFormat="1" applyFont="1" applyFill="1" applyBorder="1" applyProtection="1"/>
    <xf numFmtId="0" fontId="3" fillId="0" borderId="0" xfId="0" quotePrefix="1" applyFont="1" applyBorder="1" applyAlignment="1">
      <alignment horizontal="right"/>
    </xf>
    <xf numFmtId="5" fontId="3" fillId="3" borderId="0" xfId="0" applyNumberFormat="1" applyFont="1" applyFill="1" applyBorder="1" applyProtection="1"/>
    <xf numFmtId="5" fontId="3" fillId="4" borderId="0" xfId="0" applyNumberFormat="1" applyFont="1" applyFill="1" applyBorder="1" applyProtection="1"/>
    <xf numFmtId="5" fontId="3" fillId="0" borderId="0" xfId="0" quotePrefix="1" applyNumberFormat="1" applyFont="1" applyBorder="1" applyAlignment="1" applyProtection="1">
      <alignment horizontal="right"/>
    </xf>
    <xf numFmtId="5" fontId="3" fillId="0" borderId="0" xfId="0" quotePrefix="1" applyNumberFormat="1" applyFont="1" applyBorder="1" applyProtection="1"/>
    <xf numFmtId="7" fontId="3" fillId="0" borderId="0" xfId="0" quotePrefix="1" applyNumberFormat="1" applyFont="1" applyBorder="1" applyAlignment="1" applyProtection="1">
      <alignment horizontal="right"/>
    </xf>
    <xf numFmtId="5" fontId="15" fillId="0" borderId="0" xfId="0" applyNumberFormat="1" applyFont="1" applyBorder="1" applyProtection="1"/>
    <xf numFmtId="0" fontId="15" fillId="0" borderId="0" xfId="0" applyFont="1" applyBorder="1"/>
    <xf numFmtId="5" fontId="3" fillId="0" borderId="0" xfId="0" quotePrefix="1" applyNumberFormat="1" applyFont="1" applyBorder="1" applyAlignment="1" applyProtection="1">
      <alignment horizontal="left"/>
    </xf>
    <xf numFmtId="1" fontId="3" fillId="0" borderId="0" xfId="0" applyNumberFormat="1" applyFont="1" applyProtection="1"/>
    <xf numFmtId="5" fontId="3" fillId="0" borderId="0" xfId="0" quotePrefix="1" applyNumberFormat="1" applyFont="1" applyAlignment="1" applyProtection="1">
      <alignment horizontal="left"/>
    </xf>
    <xf numFmtId="0" fontId="3" fillId="0" borderId="0" xfId="0" quotePrefix="1" applyFont="1" applyAlignment="1">
      <alignment horizontal="center"/>
    </xf>
    <xf numFmtId="0" fontId="15" fillId="0" borderId="0" xfId="0" applyFont="1"/>
    <xf numFmtId="0" fontId="3" fillId="0" borderId="0" xfId="0" quotePrefix="1" applyFont="1" applyAlignment="1">
      <alignment horizontal="left"/>
    </xf>
    <xf numFmtId="0" fontId="3" fillId="0" borderId="0" xfId="0" quotePrefix="1" applyFont="1" applyBorder="1" applyAlignment="1">
      <alignment horizontal="left"/>
    </xf>
    <xf numFmtId="0" fontId="17" fillId="0" borderId="0" xfId="0" quotePrefix="1" applyFont="1"/>
    <xf numFmtId="10" fontId="3" fillId="6" borderId="0" xfId="0" applyNumberFormat="1" applyFont="1" applyFill="1" applyProtection="1"/>
    <xf numFmtId="5" fontId="3" fillId="6" borderId="0" xfId="0" applyNumberFormat="1" applyFont="1" applyFill="1"/>
    <xf numFmtId="5" fontId="3" fillId="6" borderId="0" xfId="0" applyNumberFormat="1" applyFont="1" applyFill="1" applyProtection="1"/>
    <xf numFmtId="8" fontId="3" fillId="0" borderId="0" xfId="0" applyNumberFormat="1" applyFont="1"/>
    <xf numFmtId="6" fontId="3" fillId="0" borderId="0" xfId="0" applyNumberFormat="1" applyFont="1"/>
    <xf numFmtId="8" fontId="7" fillId="0" borderId="0" xfId="0" applyNumberFormat="1" applyFont="1"/>
    <xf numFmtId="5" fontId="5" fillId="0" borderId="0" xfId="0" applyNumberFormat="1" applyFont="1" applyProtection="1"/>
    <xf numFmtId="0" fontId="7" fillId="0" borderId="0" xfId="0" quotePrefix="1" applyFont="1"/>
    <xf numFmtId="5" fontId="3" fillId="7" borderId="0" xfId="0" applyNumberFormat="1" applyFont="1" applyFill="1" applyAlignment="1" applyProtection="1">
      <alignment horizontal="right"/>
    </xf>
    <xf numFmtId="10" fontId="3" fillId="8" borderId="0" xfId="0" applyNumberFormat="1" applyFont="1" applyFill="1"/>
    <xf numFmtId="8" fontId="3" fillId="8" borderId="0" xfId="0" applyNumberFormat="1" applyFont="1" applyFill="1"/>
    <xf numFmtId="0" fontId="18" fillId="0" borderId="0" xfId="0" applyFont="1"/>
    <xf numFmtId="168" fontId="3" fillId="0" borderId="0" xfId="3" applyNumberFormat="1" applyFont="1" applyAlignment="1" applyProtection="1">
      <alignment horizontal="center"/>
    </xf>
    <xf numFmtId="168" fontId="3" fillId="0" borderId="0" xfId="3" applyNumberFormat="1" applyFont="1"/>
    <xf numFmtId="5" fontId="3" fillId="5" borderId="0" xfId="0" applyNumberFormat="1" applyFont="1" applyFill="1" applyBorder="1" applyProtection="1"/>
    <xf numFmtId="5" fontId="3" fillId="0" borderId="0" xfId="0" applyNumberFormat="1" applyFont="1" applyFill="1" applyProtection="1"/>
    <xf numFmtId="5" fontId="3" fillId="0" borderId="0" xfId="0" applyNumberFormat="1" applyFont="1" applyFill="1" applyBorder="1" applyProtection="1"/>
    <xf numFmtId="169" fontId="0" fillId="0" borderId="0" xfId="4" applyNumberFormat="1" applyFont="1"/>
    <xf numFmtId="10" fontId="0" fillId="0" borderId="0" xfId="0" applyNumberFormat="1"/>
    <xf numFmtId="10" fontId="0" fillId="0" borderId="0" xfId="2" applyNumberFormat="1" applyFont="1"/>
    <xf numFmtId="43" fontId="0" fillId="0" borderId="0" xfId="0" applyNumberFormat="1"/>
    <xf numFmtId="43" fontId="12" fillId="6" borderId="0" xfId="0" applyNumberFormat="1" applyFont="1" applyFill="1"/>
    <xf numFmtId="0" fontId="20" fillId="0" borderId="0" xfId="0" applyFont="1"/>
    <xf numFmtId="5" fontId="3" fillId="0" borderId="0" xfId="0" applyNumberFormat="1" applyFont="1" applyBorder="1"/>
    <xf numFmtId="7" fontId="3" fillId="0" borderId="0" xfId="0" applyNumberFormat="1" applyFont="1" applyBorder="1"/>
    <xf numFmtId="10" fontId="12" fillId="6" borderId="0" xfId="0" applyNumberFormat="1" applyFont="1" applyFill="1"/>
    <xf numFmtId="10" fontId="12" fillId="5" borderId="0" xfId="0" applyNumberFormat="1" applyFont="1" applyFill="1"/>
    <xf numFmtId="0" fontId="4" fillId="0" borderId="0" xfId="0" applyFont="1"/>
    <xf numFmtId="5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5" fontId="4" fillId="0" borderId="0" xfId="0" applyNumberFormat="1" applyFont="1" applyAlignment="1" applyProtection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/>
  </cellXfs>
  <cellStyles count="5">
    <cellStyle name="Comma" xfId="4" builtinId="3"/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CACB"/>
      <color rgb="FFFF2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901700</xdr:colOff>
      <xdr:row>0</xdr:row>
      <xdr:rowOff>139700</xdr:rowOff>
    </xdr:from>
    <xdr:to>
      <xdr:col>1</xdr:col>
      <xdr:colOff>2644140</xdr:colOff>
      <xdr:row>4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0CD3AE-D4E5-CF48-A6C9-AD0333CB2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" y="139700"/>
          <a:ext cx="315214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</xdr:colOff>
      <xdr:row>85</xdr:row>
      <xdr:rowOff>0</xdr:rowOff>
    </xdr:from>
    <xdr:to>
      <xdr:col>35</xdr:col>
      <xdr:colOff>431800</xdr:colOff>
      <xdr:row>85</xdr:row>
      <xdr:rowOff>0</xdr:rowOff>
    </xdr:to>
    <xdr:sp macro="" textlink="">
      <xdr:nvSpPr>
        <xdr:cNvPr id="1033" name="Line 3">
          <a:extLst>
            <a:ext uri="{FF2B5EF4-FFF2-40B4-BE49-F238E27FC236}">
              <a16:creationId xmlns:a16="http://schemas.microsoft.com/office/drawing/2014/main" id="{3AE3E63B-FE2B-8041-8FA3-7D8B46D49B13}"/>
            </a:ext>
          </a:extLst>
        </xdr:cNvPr>
        <xdr:cNvSpPr>
          <a:spLocks noChangeShapeType="1"/>
        </xdr:cNvSpPr>
      </xdr:nvSpPr>
      <xdr:spPr bwMode="auto">
        <a:xfrm>
          <a:off x="27622500" y="18516600"/>
          <a:ext cx="933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50800</xdr:colOff>
      <xdr:row>71</xdr:row>
      <xdr:rowOff>127000</xdr:rowOff>
    </xdr:from>
    <xdr:to>
      <xdr:col>34</xdr:col>
      <xdr:colOff>444500</xdr:colOff>
      <xdr:row>84</xdr:row>
      <xdr:rowOff>165100</xdr:rowOff>
    </xdr:to>
    <xdr:sp macro="" textlink="">
      <xdr:nvSpPr>
        <xdr:cNvPr id="1034" name="AutoShape 4">
          <a:extLst>
            <a:ext uri="{FF2B5EF4-FFF2-40B4-BE49-F238E27FC236}">
              <a16:creationId xmlns:a16="http://schemas.microsoft.com/office/drawing/2014/main" id="{840418B5-B7E5-B54E-81F1-0FC8DF757C26}"/>
            </a:ext>
          </a:extLst>
        </xdr:cNvPr>
        <xdr:cNvSpPr>
          <a:spLocks/>
        </xdr:cNvSpPr>
      </xdr:nvSpPr>
      <xdr:spPr bwMode="auto">
        <a:xfrm>
          <a:off x="35458400" y="15798800"/>
          <a:ext cx="393700" cy="2679700"/>
        </a:xfrm>
        <a:prstGeom prst="rightBrace">
          <a:avLst>
            <a:gd name="adj1" fmla="val 5672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zak@theinfiniteactuary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B20"/>
  <sheetViews>
    <sheetView tabSelected="1" workbookViewId="0"/>
  </sheetViews>
  <sheetFormatPr baseColWidth="10" defaultColWidth="6.5703125" defaultRowHeight="16"/>
  <cols>
    <col min="1" max="1" width="15.85546875" style="29" customWidth="1"/>
    <col min="2" max="2" width="68.42578125" style="29" bestFit="1" customWidth="1"/>
    <col min="3" max="16384" width="6.5703125" style="29"/>
  </cols>
  <sheetData>
    <row r="6" spans="1:2">
      <c r="A6" s="29" t="s">
        <v>56</v>
      </c>
      <c r="B6" s="31">
        <v>44224</v>
      </c>
    </row>
    <row r="7" spans="1:2">
      <c r="A7" s="29" t="s">
        <v>57</v>
      </c>
      <c r="B7" s="29" t="s">
        <v>65</v>
      </c>
    </row>
    <row r="8" spans="1:2">
      <c r="A8" s="29" t="s">
        <v>58</v>
      </c>
      <c r="B8" s="34" t="s">
        <v>66</v>
      </c>
    </row>
    <row r="10" spans="1:2">
      <c r="A10" s="29" t="s">
        <v>59</v>
      </c>
      <c r="B10" s="29" t="s">
        <v>67</v>
      </c>
    </row>
    <row r="11" spans="1:2" ht="17">
      <c r="A11" s="29" t="s">
        <v>60</v>
      </c>
      <c r="B11" s="32" t="s">
        <v>64</v>
      </c>
    </row>
    <row r="12" spans="1:2">
      <c r="B12" s="33"/>
    </row>
    <row r="13" spans="1:2">
      <c r="A13" s="30" t="s">
        <v>61</v>
      </c>
      <c r="B13" s="30" t="s">
        <v>62</v>
      </c>
    </row>
    <row r="14" spans="1:2">
      <c r="A14" s="31">
        <v>44070</v>
      </c>
      <c r="B14" s="29" t="s">
        <v>63</v>
      </c>
    </row>
    <row r="15" spans="1:2">
      <c r="A15" s="31">
        <v>44224</v>
      </c>
      <c r="B15" s="29" t="s">
        <v>213</v>
      </c>
    </row>
    <row r="16" spans="1:2">
      <c r="A16" s="31"/>
    </row>
    <row r="17" spans="1:1">
      <c r="A17" s="31"/>
    </row>
    <row r="18" spans="1:1">
      <c r="A18" s="31"/>
    </row>
    <row r="19" spans="1:1">
      <c r="A19" s="31"/>
    </row>
    <row r="20" spans="1:1">
      <c r="A20" s="31"/>
    </row>
  </sheetData>
  <hyperlinks>
    <hyperlink ref="B8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0B91-C28E-F84E-B2B6-528BF342DF32}">
  <dimension ref="B3:E23"/>
  <sheetViews>
    <sheetView workbookViewId="0"/>
  </sheetViews>
  <sheetFormatPr baseColWidth="10" defaultRowHeight="16"/>
  <cols>
    <col min="2" max="2" width="15.7109375" bestFit="1" customWidth="1"/>
    <col min="3" max="3" width="21.28515625" bestFit="1" customWidth="1"/>
    <col min="4" max="4" width="19.5703125" bestFit="1" customWidth="1"/>
    <col min="5" max="5" width="17.7109375" bestFit="1" customWidth="1"/>
    <col min="8" max="8" width="15.7109375" bestFit="1" customWidth="1"/>
    <col min="9" max="9" width="21.28515625" bestFit="1" customWidth="1"/>
    <col min="10" max="10" width="19.5703125" bestFit="1" customWidth="1"/>
    <col min="11" max="11" width="17.7109375" bestFit="1" customWidth="1"/>
  </cols>
  <sheetData>
    <row r="3" spans="2:5">
      <c r="B3" s="37" t="s">
        <v>207</v>
      </c>
    </row>
    <row r="4" spans="2:5">
      <c r="B4" s="88" t="s">
        <v>206</v>
      </c>
    </row>
    <row r="5" spans="2:5">
      <c r="B5" t="s">
        <v>199</v>
      </c>
      <c r="C5" t="s">
        <v>200</v>
      </c>
      <c r="D5" t="s">
        <v>201</v>
      </c>
      <c r="E5" t="s">
        <v>202</v>
      </c>
    </row>
    <row r="6" spans="2:5">
      <c r="B6">
        <v>1</v>
      </c>
      <c r="C6" s="85">
        <v>0.06</v>
      </c>
      <c r="D6" s="85">
        <f>C6-0.4%</f>
        <v>5.5999999999999994E-2</v>
      </c>
      <c r="E6" t="s">
        <v>203</v>
      </c>
    </row>
    <row r="7" spans="2:5">
      <c r="B7">
        <v>2</v>
      </c>
      <c r="C7" s="85">
        <v>6.2E-2</v>
      </c>
      <c r="D7" s="85">
        <v>5.7000000000000002E-2</v>
      </c>
      <c r="E7" t="s">
        <v>204</v>
      </c>
    </row>
    <row r="8" spans="2:5">
      <c r="B8">
        <v>3</v>
      </c>
      <c r="C8" s="85">
        <v>6.7000000000000004E-2</v>
      </c>
      <c r="D8" s="85">
        <f t="shared" ref="D8:D10" si="0">C8-0.4%</f>
        <v>6.3E-2</v>
      </c>
      <c r="E8" t="s">
        <v>204</v>
      </c>
    </row>
    <row r="9" spans="2:5">
      <c r="B9">
        <v>4</v>
      </c>
      <c r="C9" s="85">
        <v>6.3E-2</v>
      </c>
      <c r="D9" s="85">
        <f t="shared" si="0"/>
        <v>5.8999999999999997E-2</v>
      </c>
      <c r="E9" t="s">
        <v>203</v>
      </c>
    </row>
    <row r="10" spans="2:5">
      <c r="B10">
        <v>5</v>
      </c>
      <c r="C10" s="85">
        <v>6.4000000000000001E-2</v>
      </c>
      <c r="D10" s="85">
        <f t="shared" si="0"/>
        <v>0.06</v>
      </c>
      <c r="E10" t="s">
        <v>203</v>
      </c>
    </row>
    <row r="12" spans="2:5">
      <c r="B12" t="s">
        <v>205</v>
      </c>
      <c r="C12" s="84">
        <f>AVERAGE(C6,C9,C10)</f>
        <v>6.2333333333333331E-2</v>
      </c>
    </row>
    <row r="14" spans="2:5">
      <c r="B14" s="37" t="s">
        <v>208</v>
      </c>
    </row>
    <row r="15" spans="2:5">
      <c r="B15" t="s">
        <v>197</v>
      </c>
      <c r="C15" t="s">
        <v>198</v>
      </c>
      <c r="D15" t="s">
        <v>161</v>
      </c>
    </row>
    <row r="16" spans="2:5">
      <c r="B16">
        <v>0</v>
      </c>
      <c r="C16" s="83">
        <v>0</v>
      </c>
      <c r="D16" s="86">
        <f t="shared" ref="D16:D21" si="1">C16/(1+C$12)^B16</f>
        <v>0</v>
      </c>
    </row>
    <row r="17" spans="2:4">
      <c r="B17">
        <v>1</v>
      </c>
      <c r="C17" s="83">
        <v>20000</v>
      </c>
      <c r="D17" s="86">
        <f t="shared" si="1"/>
        <v>18826.482585503607</v>
      </c>
    </row>
    <row r="18" spans="2:4">
      <c r="B18">
        <v>2</v>
      </c>
      <c r="C18" s="83">
        <v>20000</v>
      </c>
      <c r="D18" s="86">
        <f t="shared" si="1"/>
        <v>17721.822327113528</v>
      </c>
    </row>
    <row r="19" spans="2:4">
      <c r="B19">
        <v>3</v>
      </c>
      <c r="C19" s="83">
        <v>20000</v>
      </c>
      <c r="D19" s="86">
        <f t="shared" si="1"/>
        <v>16681.978971239598</v>
      </c>
    </row>
    <row r="20" spans="2:4">
      <c r="B20">
        <v>4</v>
      </c>
      <c r="C20" s="83">
        <v>20000</v>
      </c>
      <c r="D20" s="86">
        <f t="shared" si="1"/>
        <v>15703.14932968898</v>
      </c>
    </row>
    <row r="21" spans="2:4">
      <c r="B21">
        <v>5</v>
      </c>
      <c r="C21" s="83">
        <v>300000</v>
      </c>
      <c r="D21" s="86">
        <f t="shared" si="1"/>
        <v>221726.30054471418</v>
      </c>
    </row>
    <row r="23" spans="2:4">
      <c r="B23" t="s">
        <v>40</v>
      </c>
      <c r="C23" s="87">
        <f>SUM(D16:D21)</f>
        <v>290659.73375825991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19"/>
  <sheetViews>
    <sheetView workbookViewId="0"/>
  </sheetViews>
  <sheetFormatPr baseColWidth="10" defaultRowHeight="16"/>
  <cols>
    <col min="1" max="1" width="10.7109375" style="6"/>
    <col min="2" max="2" width="22.7109375" style="6" customWidth="1"/>
    <col min="3" max="16384" width="10.7109375" style="6"/>
  </cols>
  <sheetData>
    <row r="3" spans="2:11">
      <c r="B3" s="30" t="s">
        <v>45</v>
      </c>
      <c r="C3" s="30" t="s">
        <v>46</v>
      </c>
      <c r="D3" s="30"/>
    </row>
    <row r="4" spans="2:11">
      <c r="B4" s="6" t="s">
        <v>44</v>
      </c>
      <c r="C4" s="25">
        <v>0.01</v>
      </c>
      <c r="D4" s="5"/>
    </row>
    <row r="5" spans="2:11">
      <c r="B5" s="6" t="s">
        <v>47</v>
      </c>
      <c r="C5" s="25">
        <v>0.06</v>
      </c>
      <c r="D5" s="5"/>
    </row>
    <row r="6" spans="2:11">
      <c r="B6" s="6" t="s">
        <v>48</v>
      </c>
      <c r="C6" s="25">
        <v>0.35</v>
      </c>
      <c r="D6" s="5"/>
    </row>
    <row r="7" spans="2:11">
      <c r="C7" s="25"/>
      <c r="D7" s="5"/>
    </row>
    <row r="8" spans="2:11">
      <c r="B8" s="5" t="s">
        <v>49</v>
      </c>
      <c r="C8" s="25">
        <v>0.8</v>
      </c>
      <c r="D8" s="5"/>
      <c r="J8" s="5"/>
      <c r="K8" s="5"/>
    </row>
    <row r="9" spans="2:11">
      <c r="B9" s="5" t="s">
        <v>50</v>
      </c>
      <c r="C9" s="26">
        <v>27.5</v>
      </c>
      <c r="D9" s="5"/>
    </row>
    <row r="10" spans="2:11">
      <c r="B10" s="5" t="s">
        <v>51</v>
      </c>
      <c r="C10" s="25">
        <v>0.15</v>
      </c>
      <c r="D10" s="5"/>
    </row>
    <row r="11" spans="2:11">
      <c r="B11" s="5" t="s">
        <v>52</v>
      </c>
      <c r="C11" s="25">
        <v>0.25</v>
      </c>
      <c r="D11" s="5"/>
    </row>
    <row r="12" spans="2:11">
      <c r="B12" s="5" t="s">
        <v>156</v>
      </c>
      <c r="C12" s="25">
        <v>0.25</v>
      </c>
      <c r="D12" s="5"/>
    </row>
    <row r="13" spans="2:11">
      <c r="C13" s="28"/>
    </row>
    <row r="14" spans="2:11">
      <c r="B14" s="17" t="s">
        <v>196</v>
      </c>
      <c r="C14" s="27">
        <v>1000000</v>
      </c>
    </row>
    <row r="15" spans="2:11">
      <c r="B15" s="9" t="s">
        <v>53</v>
      </c>
      <c r="C15" s="27">
        <v>750000</v>
      </c>
    </row>
    <row r="16" spans="2:11">
      <c r="B16" s="9" t="s">
        <v>54</v>
      </c>
      <c r="C16" s="25">
        <v>5.5E-2</v>
      </c>
    </row>
    <row r="17" spans="2:4">
      <c r="B17" s="9" t="s">
        <v>55</v>
      </c>
      <c r="C17" s="27">
        <v>2000</v>
      </c>
      <c r="D17" s="98" t="s">
        <v>212</v>
      </c>
    </row>
    <row r="18" spans="2:4">
      <c r="C18" s="28"/>
    </row>
    <row r="19" spans="2:4">
      <c r="B19" s="38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B1:IV8187"/>
  <sheetViews>
    <sheetView defaultGridColor="0" colorId="22" zoomScaleNormal="100" workbookViewId="0"/>
  </sheetViews>
  <sheetFormatPr baseColWidth="10" defaultColWidth="12.5703125" defaultRowHeight="16"/>
  <cols>
    <col min="1" max="1" width="12.5703125" style="6"/>
    <col min="2" max="2" width="27" style="6" customWidth="1"/>
    <col min="3" max="3" width="13.85546875" style="5" customWidth="1"/>
    <col min="4" max="4" width="10.140625" style="5" customWidth="1"/>
    <col min="5" max="5" width="15.85546875" style="5" bestFit="1" customWidth="1"/>
    <col min="6" max="6" width="14.140625" style="5" customWidth="1"/>
    <col min="7" max="7" width="12.5703125" style="5"/>
    <col min="8" max="8" width="20.28515625" style="5" bestFit="1" customWidth="1"/>
    <col min="9" max="9" width="12.42578125" style="5" customWidth="1"/>
    <col min="10" max="10" width="11" style="5" bestFit="1" customWidth="1"/>
    <col min="11" max="11" width="12.5703125" style="5"/>
    <col min="12" max="12" width="18.28515625" style="5" bestFit="1" customWidth="1"/>
    <col min="13" max="13" width="11" style="5" bestFit="1" customWidth="1"/>
    <col min="14" max="14" width="11" style="6" customWidth="1"/>
    <col min="15" max="15" width="19.5703125" style="6" bestFit="1" customWidth="1"/>
    <col min="16" max="16" width="13.85546875" style="6" customWidth="1"/>
    <col min="17" max="17" width="11.140625" style="6" customWidth="1"/>
    <col min="18" max="20" width="11.5703125" style="6" customWidth="1"/>
    <col min="21" max="21" width="12.5703125" style="6"/>
    <col min="22" max="23" width="10.85546875" style="7" customWidth="1"/>
    <col min="24" max="24" width="12.5703125" style="6"/>
    <col min="25" max="25" width="10.42578125" style="6" customWidth="1"/>
    <col min="26" max="16384" width="12.5703125" style="6"/>
  </cols>
  <sheetData>
    <row r="1" spans="2:42">
      <c r="H1" s="8"/>
      <c r="AM1" s="11"/>
      <c r="AN1" s="7"/>
      <c r="AO1" s="7"/>
      <c r="AP1" s="7"/>
    </row>
    <row r="2" spans="2:42">
      <c r="H2" s="9"/>
      <c r="L2" s="9"/>
      <c r="AM2" s="11"/>
      <c r="AN2" s="7"/>
      <c r="AO2" s="7"/>
      <c r="AP2" s="7"/>
    </row>
    <row r="3" spans="2:42">
      <c r="B3" s="62" t="s">
        <v>143</v>
      </c>
      <c r="H3" s="24"/>
      <c r="AM3" s="11"/>
      <c r="AN3" s="7"/>
      <c r="AO3" s="7"/>
      <c r="AP3" s="7"/>
    </row>
    <row r="4" spans="2:42">
      <c r="U4" s="15"/>
      <c r="AM4" s="11"/>
      <c r="AN4" s="7"/>
      <c r="AO4" s="7"/>
      <c r="AP4" s="7"/>
    </row>
    <row r="5" spans="2:42" ht="51" customHeight="1">
      <c r="B5" s="95" t="s">
        <v>17</v>
      </c>
      <c r="C5" s="96" t="s">
        <v>40</v>
      </c>
      <c r="D5" s="94" t="s">
        <v>108</v>
      </c>
      <c r="E5" s="94" t="s">
        <v>140</v>
      </c>
      <c r="F5" s="94" t="s">
        <v>141</v>
      </c>
      <c r="G5" s="94" t="s">
        <v>135</v>
      </c>
      <c r="H5" s="94" t="s">
        <v>41</v>
      </c>
      <c r="I5" s="94" t="s">
        <v>142</v>
      </c>
      <c r="J5" s="94" t="s">
        <v>43</v>
      </c>
      <c r="K5" s="94" t="s">
        <v>144</v>
      </c>
      <c r="L5" s="94" t="s">
        <v>42</v>
      </c>
      <c r="M5" s="94" t="s">
        <v>145</v>
      </c>
      <c r="N5" s="94" t="s">
        <v>146</v>
      </c>
      <c r="O5" s="94" t="s">
        <v>137</v>
      </c>
      <c r="AM5" s="11"/>
      <c r="AN5" s="7"/>
      <c r="AO5" s="7"/>
      <c r="AP5" s="7"/>
    </row>
    <row r="6" spans="2:42">
      <c r="B6" s="95"/>
      <c r="C6" s="96"/>
      <c r="D6" s="94"/>
      <c r="E6" s="94" t="s">
        <v>136</v>
      </c>
      <c r="F6" s="94"/>
      <c r="G6" s="94"/>
      <c r="H6" s="94"/>
      <c r="I6" s="94"/>
      <c r="J6" s="94"/>
      <c r="K6" s="94"/>
      <c r="L6" s="94"/>
      <c r="M6" s="94"/>
      <c r="N6" s="94"/>
      <c r="O6" s="94"/>
      <c r="Q6" s="18" t="s">
        <v>211</v>
      </c>
      <c r="R6" s="18" t="s">
        <v>18</v>
      </c>
      <c r="S6" s="20"/>
      <c r="T6" s="18"/>
      <c r="V6" s="12"/>
      <c r="AM6" s="11"/>
      <c r="AN6" s="7"/>
      <c r="AO6" s="7"/>
      <c r="AP6" s="7"/>
    </row>
    <row r="7" spans="2:42">
      <c r="B7" s="19">
        <v>0</v>
      </c>
      <c r="C7" s="5">
        <f>market_price</f>
        <v>1000000</v>
      </c>
      <c r="F7" s="5">
        <f>-C7</f>
        <v>-1000000</v>
      </c>
      <c r="I7" s="5">
        <f t="shared" ref="I7:I17" si="0">F7-G7+H7</f>
        <v>-1000000</v>
      </c>
      <c r="J7" s="5">
        <f>loan_amt</f>
        <v>750000</v>
      </c>
      <c r="K7" s="5">
        <f>-loan_amt</f>
        <v>-750000</v>
      </c>
      <c r="M7" s="5">
        <f t="shared" ref="M7:M17" si="1">F7-K7</f>
        <v>-250000</v>
      </c>
      <c r="N7" s="5">
        <f t="shared" ref="N7:N17" si="2">I7-K7+L7</f>
        <v>-250000</v>
      </c>
      <c r="O7" s="20">
        <f t="shared" ref="O7:O17" si="3">K7-L7</f>
        <v>-750000</v>
      </c>
      <c r="P7" s="20"/>
      <c r="Q7" s="20">
        <f>G7-H7-L7</f>
        <v>0</v>
      </c>
      <c r="R7" s="20">
        <f>M7-Q7</f>
        <v>-250000</v>
      </c>
      <c r="S7" s="20"/>
      <c r="T7" s="20"/>
      <c r="AM7" s="11"/>
      <c r="AN7" s="7"/>
      <c r="AO7" s="7"/>
      <c r="AP7" s="7"/>
    </row>
    <row r="8" spans="2:42">
      <c r="B8" s="19">
        <f t="shared" ref="B8:B17" si="4">1+B7</f>
        <v>1</v>
      </c>
      <c r="C8" s="5">
        <f t="shared" ref="C8:C17" si="5">(1+appreciation_rate)*C7</f>
        <v>1010000</v>
      </c>
      <c r="D8" s="5">
        <f>yield_rate*C7</f>
        <v>60000</v>
      </c>
      <c r="E8" s="5">
        <v>0</v>
      </c>
      <c r="F8" s="5">
        <f t="shared" ref="F8:F16" si="6">D8-E8</f>
        <v>60000</v>
      </c>
      <c r="G8" s="5">
        <f t="shared" ref="G8:G16" si="7">income_tax_rate*D8</f>
        <v>21000</v>
      </c>
      <c r="H8" s="5">
        <f>$C$7*income_tax_rate*build_value/depr_years</f>
        <v>10181.818181818182</v>
      </c>
      <c r="I8" s="5">
        <f>F8-G8+H8</f>
        <v>49181.818181818184</v>
      </c>
      <c r="J8" s="5">
        <f t="shared" ref="J8:J17" si="8">J7-amort</f>
        <v>748000</v>
      </c>
      <c r="K8" s="5">
        <f t="shared" ref="K8:K16" si="9">int_rate*J7+amort</f>
        <v>43250</v>
      </c>
      <c r="L8" s="5">
        <f t="shared" ref="L8:L17" si="10">income_tax_rate*J7*int_rate</f>
        <v>14437.5</v>
      </c>
      <c r="M8" s="5">
        <f t="shared" si="1"/>
        <v>16750</v>
      </c>
      <c r="N8" s="5">
        <f t="shared" si="2"/>
        <v>20369.318181818184</v>
      </c>
      <c r="O8" s="20">
        <f t="shared" si="3"/>
        <v>28812.5</v>
      </c>
      <c r="P8" s="20"/>
      <c r="Q8" s="20">
        <f>G8-H8-L8</f>
        <v>-3619.318181818182</v>
      </c>
      <c r="R8" s="20">
        <f t="shared" ref="R8:R17" si="11">M8-Q8</f>
        <v>20369.318181818184</v>
      </c>
      <c r="S8" s="20"/>
      <c r="T8" s="21"/>
      <c r="V8" s="12"/>
      <c r="AM8" s="11"/>
      <c r="AN8" s="7"/>
      <c r="AO8" s="7"/>
      <c r="AP8" s="7"/>
    </row>
    <row r="9" spans="2:42">
      <c r="B9" s="19">
        <f t="shared" si="4"/>
        <v>2</v>
      </c>
      <c r="C9" s="5">
        <f t="shared" si="5"/>
        <v>1020100</v>
      </c>
      <c r="D9" s="5">
        <f>yield_rate*C8</f>
        <v>60600</v>
      </c>
      <c r="E9" s="5">
        <v>0</v>
      </c>
      <c r="F9" s="5">
        <f>D9-E9</f>
        <v>60600</v>
      </c>
      <c r="G9" s="5">
        <f>income_tax_rate*D9</f>
        <v>21210</v>
      </c>
      <c r="H9" s="5">
        <f t="shared" ref="H9:H16" si="12">C$7*income_tax_rate*build_value/depr_years</f>
        <v>10181.818181818182</v>
      </c>
      <c r="I9" s="5">
        <f>F9-G9+H9</f>
        <v>49571.818181818184</v>
      </c>
      <c r="J9" s="5">
        <f t="shared" si="8"/>
        <v>746000</v>
      </c>
      <c r="K9" s="5">
        <f t="shared" si="9"/>
        <v>43140</v>
      </c>
      <c r="L9" s="5">
        <f t="shared" si="10"/>
        <v>14398.999999999998</v>
      </c>
      <c r="M9" s="5">
        <f t="shared" si="1"/>
        <v>17460</v>
      </c>
      <c r="N9" s="5">
        <f t="shared" si="2"/>
        <v>20830.818181818184</v>
      </c>
      <c r="O9" s="20">
        <f t="shared" si="3"/>
        <v>28741</v>
      </c>
      <c r="P9" s="20"/>
      <c r="Q9" s="20">
        <f t="shared" ref="Q9:Q17" si="13">G9-H9-L9</f>
        <v>-3370.8181818181802</v>
      </c>
      <c r="R9" s="20">
        <f t="shared" si="11"/>
        <v>20830.81818181818</v>
      </c>
      <c r="S9" s="20"/>
      <c r="T9" s="21"/>
      <c r="AM9" s="11"/>
      <c r="AN9" s="7"/>
      <c r="AO9" s="7"/>
      <c r="AP9" s="7"/>
    </row>
    <row r="10" spans="2:42">
      <c r="B10" s="19">
        <f t="shared" si="4"/>
        <v>3</v>
      </c>
      <c r="C10" s="5">
        <f t="shared" si="5"/>
        <v>1030301</v>
      </c>
      <c r="D10" s="5">
        <f t="shared" ref="D10:D17" si="14">yield_rate*C9</f>
        <v>61206</v>
      </c>
      <c r="E10" s="5">
        <v>50000</v>
      </c>
      <c r="F10" s="5">
        <f t="shared" si="6"/>
        <v>11206</v>
      </c>
      <c r="G10" s="5">
        <f t="shared" si="7"/>
        <v>21422.1</v>
      </c>
      <c r="H10" s="5">
        <f t="shared" si="12"/>
        <v>10181.818181818182</v>
      </c>
      <c r="I10" s="5">
        <f t="shared" si="0"/>
        <v>-34.281818181816561</v>
      </c>
      <c r="J10" s="5">
        <f t="shared" si="8"/>
        <v>744000</v>
      </c>
      <c r="K10" s="5">
        <f t="shared" si="9"/>
        <v>43030</v>
      </c>
      <c r="L10" s="5">
        <f t="shared" si="10"/>
        <v>14360.499999999998</v>
      </c>
      <c r="M10" s="5">
        <f t="shared" si="1"/>
        <v>-31824</v>
      </c>
      <c r="N10" s="5">
        <f t="shared" si="2"/>
        <v>-28703.781818181815</v>
      </c>
      <c r="O10" s="20">
        <f t="shared" si="3"/>
        <v>28669.5</v>
      </c>
      <c r="P10" s="20"/>
      <c r="Q10" s="20">
        <f>G10-H10-L10</f>
        <v>-3120.2181818181816</v>
      </c>
      <c r="R10" s="20">
        <f t="shared" si="11"/>
        <v>-28703.781818181818</v>
      </c>
      <c r="S10" s="20"/>
      <c r="T10" s="21"/>
      <c r="AM10" s="11"/>
      <c r="AN10" s="7"/>
      <c r="AO10" s="7"/>
      <c r="AP10" s="7"/>
    </row>
    <row r="11" spans="2:42">
      <c r="B11" s="19">
        <f t="shared" si="4"/>
        <v>4</v>
      </c>
      <c r="C11" s="5">
        <f t="shared" si="5"/>
        <v>1040604.01</v>
      </c>
      <c r="D11" s="5">
        <f t="shared" si="14"/>
        <v>61818.06</v>
      </c>
      <c r="E11" s="5">
        <v>0</v>
      </c>
      <c r="F11" s="5">
        <f t="shared" si="6"/>
        <v>61818.06</v>
      </c>
      <c r="G11" s="5">
        <f t="shared" si="7"/>
        <v>21636.320999999996</v>
      </c>
      <c r="H11" s="5">
        <f t="shared" si="12"/>
        <v>10181.818181818182</v>
      </c>
      <c r="I11" s="5">
        <f t="shared" si="0"/>
        <v>50363.557181818185</v>
      </c>
      <c r="J11" s="5">
        <f t="shared" si="8"/>
        <v>742000</v>
      </c>
      <c r="K11" s="5">
        <f t="shared" si="9"/>
        <v>42920</v>
      </c>
      <c r="L11" s="5">
        <f t="shared" si="10"/>
        <v>14321.999999999998</v>
      </c>
      <c r="M11" s="5">
        <f t="shared" si="1"/>
        <v>18898.059999999998</v>
      </c>
      <c r="N11" s="5">
        <f t="shared" si="2"/>
        <v>21765.557181818185</v>
      </c>
      <c r="O11" s="20">
        <f t="shared" si="3"/>
        <v>28598</v>
      </c>
      <c r="P11" s="20"/>
      <c r="Q11" s="20">
        <f t="shared" si="13"/>
        <v>-2867.4971818181839</v>
      </c>
      <c r="R11" s="20">
        <f t="shared" si="11"/>
        <v>21765.557181818182</v>
      </c>
      <c r="S11" s="20"/>
      <c r="T11" s="21"/>
      <c r="AM11" s="11"/>
      <c r="AN11" s="7"/>
      <c r="AO11" s="7"/>
      <c r="AP11" s="7"/>
    </row>
    <row r="12" spans="2:42">
      <c r="B12" s="19">
        <f t="shared" si="4"/>
        <v>5</v>
      </c>
      <c r="C12" s="5">
        <f t="shared" si="5"/>
        <v>1051010.0501000001</v>
      </c>
      <c r="D12" s="5">
        <f t="shared" si="14"/>
        <v>62436.240599999997</v>
      </c>
      <c r="E12" s="5">
        <v>0</v>
      </c>
      <c r="F12" s="5">
        <f t="shared" si="6"/>
        <v>62436.240599999997</v>
      </c>
      <c r="G12" s="5">
        <f t="shared" si="7"/>
        <v>21852.684209999999</v>
      </c>
      <c r="H12" s="5">
        <f t="shared" si="12"/>
        <v>10181.818181818182</v>
      </c>
      <c r="I12" s="5">
        <f t="shared" si="0"/>
        <v>50765.374571818182</v>
      </c>
      <c r="J12" s="5">
        <f t="shared" si="8"/>
        <v>740000</v>
      </c>
      <c r="K12" s="5">
        <f t="shared" si="9"/>
        <v>42810</v>
      </c>
      <c r="L12" s="5">
        <f t="shared" si="10"/>
        <v>14283.499999999998</v>
      </c>
      <c r="M12" s="5">
        <f>F12-K12</f>
        <v>19626.240599999997</v>
      </c>
      <c r="N12" s="5">
        <f t="shared" si="2"/>
        <v>22238.874571818182</v>
      </c>
      <c r="O12" s="20">
        <f t="shared" si="3"/>
        <v>28526.5</v>
      </c>
      <c r="P12" s="20"/>
      <c r="Q12" s="20">
        <f t="shared" si="13"/>
        <v>-2612.6339718181807</v>
      </c>
      <c r="R12" s="20">
        <f t="shared" si="11"/>
        <v>22238.874571818178</v>
      </c>
      <c r="S12" s="20"/>
      <c r="T12" s="21"/>
      <c r="AM12" s="11"/>
      <c r="AN12" s="7"/>
      <c r="AO12" s="7"/>
      <c r="AP12" s="7"/>
    </row>
    <row r="13" spans="2:42">
      <c r="B13" s="19">
        <f t="shared" si="4"/>
        <v>6</v>
      </c>
      <c r="C13" s="5">
        <f t="shared" si="5"/>
        <v>1061520.1506010001</v>
      </c>
      <c r="D13" s="5">
        <f t="shared" si="14"/>
        <v>63060.603006000005</v>
      </c>
      <c r="E13" s="5">
        <v>0</v>
      </c>
      <c r="F13" s="5">
        <f t="shared" si="6"/>
        <v>63060.603006000005</v>
      </c>
      <c r="G13" s="5">
        <f t="shared" si="7"/>
        <v>22071.2110521</v>
      </c>
      <c r="H13" s="5">
        <f t="shared" si="12"/>
        <v>10181.818181818182</v>
      </c>
      <c r="I13" s="5">
        <f t="shared" si="0"/>
        <v>51171.210135718189</v>
      </c>
      <c r="J13" s="5">
        <f t="shared" si="8"/>
        <v>738000</v>
      </c>
      <c r="K13" s="5">
        <f t="shared" si="9"/>
        <v>42700</v>
      </c>
      <c r="L13" s="5">
        <f t="shared" si="10"/>
        <v>14244.999999999998</v>
      </c>
      <c r="M13" s="5">
        <f t="shared" si="1"/>
        <v>20360.603006000005</v>
      </c>
      <c r="N13" s="5">
        <f>I13-K13+L13</f>
        <v>22716.210135718189</v>
      </c>
      <c r="O13" s="20">
        <f t="shared" si="3"/>
        <v>28455</v>
      </c>
      <c r="P13" s="20"/>
      <c r="Q13" s="20">
        <f t="shared" si="13"/>
        <v>-2355.6071297181807</v>
      </c>
      <c r="R13" s="20">
        <f t="shared" si="11"/>
        <v>22716.210135718185</v>
      </c>
      <c r="S13" s="20"/>
      <c r="T13" s="21"/>
      <c r="X13" s="7"/>
      <c r="Z13" s="7"/>
      <c r="AB13" s="7"/>
      <c r="AM13" s="11"/>
      <c r="AN13" s="7"/>
      <c r="AO13" s="7"/>
      <c r="AP13" s="7"/>
    </row>
    <row r="14" spans="2:42">
      <c r="B14" s="19">
        <f t="shared" si="4"/>
        <v>7</v>
      </c>
      <c r="C14" s="5">
        <f t="shared" si="5"/>
        <v>1072135.3521070101</v>
      </c>
      <c r="D14" s="5">
        <f t="shared" si="14"/>
        <v>63691.209036059998</v>
      </c>
      <c r="E14" s="5">
        <v>0</v>
      </c>
      <c r="F14" s="5">
        <f t="shared" si="6"/>
        <v>63691.209036059998</v>
      </c>
      <c r="G14" s="5">
        <f t="shared" si="7"/>
        <v>22291.923162620998</v>
      </c>
      <c r="H14" s="5">
        <f t="shared" si="12"/>
        <v>10181.818181818182</v>
      </c>
      <c r="I14" s="5">
        <f t="shared" si="0"/>
        <v>51581.104055257187</v>
      </c>
      <c r="J14" s="5">
        <f t="shared" si="8"/>
        <v>736000</v>
      </c>
      <c r="K14" s="5">
        <f t="shared" si="9"/>
        <v>42590</v>
      </c>
      <c r="L14" s="5">
        <f t="shared" si="10"/>
        <v>14206.499999999998</v>
      </c>
      <c r="M14" s="5">
        <f t="shared" si="1"/>
        <v>21101.209036059998</v>
      </c>
      <c r="N14" s="5">
        <f t="shared" si="2"/>
        <v>23197.604055257187</v>
      </c>
      <c r="O14" s="20">
        <f t="shared" si="3"/>
        <v>28383.5</v>
      </c>
      <c r="P14" s="20"/>
      <c r="Q14" s="20">
        <f t="shared" si="13"/>
        <v>-2096.3950191971817</v>
      </c>
      <c r="R14" s="20">
        <f t="shared" si="11"/>
        <v>23197.604055257179</v>
      </c>
      <c r="S14" s="20"/>
      <c r="T14" s="21"/>
      <c r="U14" s="11"/>
      <c r="X14" s="11"/>
      <c r="Y14" s="7"/>
      <c r="Z14" s="7"/>
      <c r="AC14" s="7"/>
      <c r="AM14" s="11"/>
      <c r="AN14" s="7"/>
      <c r="AO14" s="7"/>
      <c r="AP14" s="7"/>
    </row>
    <row r="15" spans="2:42">
      <c r="B15" s="19">
        <f t="shared" si="4"/>
        <v>8</v>
      </c>
      <c r="C15" s="5">
        <f t="shared" si="5"/>
        <v>1082856.7056280803</v>
      </c>
      <c r="D15" s="5">
        <f t="shared" si="14"/>
        <v>64328.121126420599</v>
      </c>
      <c r="E15" s="5">
        <v>50000</v>
      </c>
      <c r="F15" s="5">
        <f t="shared" si="6"/>
        <v>14328.121126420599</v>
      </c>
      <c r="G15" s="5">
        <f t="shared" si="7"/>
        <v>22514.842394247207</v>
      </c>
      <c r="H15" s="5">
        <f t="shared" si="12"/>
        <v>10181.818181818182</v>
      </c>
      <c r="I15" s="5">
        <f t="shared" si="0"/>
        <v>1995.0969139915742</v>
      </c>
      <c r="J15" s="5">
        <f t="shared" si="8"/>
        <v>734000</v>
      </c>
      <c r="K15" s="5">
        <f t="shared" si="9"/>
        <v>42480</v>
      </c>
      <c r="L15" s="5">
        <f t="shared" si="10"/>
        <v>14167.999999999998</v>
      </c>
      <c r="M15" s="5">
        <f t="shared" si="1"/>
        <v>-28151.878873579401</v>
      </c>
      <c r="N15" s="5">
        <f t="shared" si="2"/>
        <v>-26316.903086008424</v>
      </c>
      <c r="O15" s="20">
        <f t="shared" si="3"/>
        <v>28312</v>
      </c>
      <c r="P15" s="20"/>
      <c r="Q15" s="20">
        <f t="shared" si="13"/>
        <v>-1834.9757875709729</v>
      </c>
      <c r="R15" s="20">
        <f t="shared" si="11"/>
        <v>-26316.903086008428</v>
      </c>
      <c r="S15" s="20"/>
      <c r="T15" s="21"/>
      <c r="U15" s="11"/>
      <c r="X15" s="11"/>
      <c r="Y15" s="7"/>
      <c r="Z15" s="7"/>
      <c r="AC15" s="7"/>
      <c r="AM15" s="11"/>
      <c r="AN15" s="7"/>
      <c r="AO15" s="7"/>
      <c r="AP15" s="7"/>
    </row>
    <row r="16" spans="2:42">
      <c r="B16" s="19">
        <f t="shared" si="4"/>
        <v>9</v>
      </c>
      <c r="C16" s="5">
        <f t="shared" si="5"/>
        <v>1093685.2726843611</v>
      </c>
      <c r="D16" s="5">
        <f t="shared" si="14"/>
        <v>64971.402337684813</v>
      </c>
      <c r="E16" s="5">
        <v>0</v>
      </c>
      <c r="F16" s="5">
        <f t="shared" si="6"/>
        <v>64971.402337684813</v>
      </c>
      <c r="G16" s="5">
        <f t="shared" si="7"/>
        <v>22739.990818189683</v>
      </c>
      <c r="H16" s="5">
        <f t="shared" si="12"/>
        <v>10181.818181818182</v>
      </c>
      <c r="I16" s="5">
        <f t="shared" si="0"/>
        <v>52413.229701313314</v>
      </c>
      <c r="J16" s="5">
        <f t="shared" si="8"/>
        <v>732000</v>
      </c>
      <c r="K16" s="5">
        <f t="shared" si="9"/>
        <v>42370</v>
      </c>
      <c r="L16" s="5">
        <f t="shared" si="10"/>
        <v>14129.499999999998</v>
      </c>
      <c r="M16" s="5">
        <f t="shared" si="1"/>
        <v>22601.402337684813</v>
      </c>
      <c r="N16" s="5">
        <f t="shared" si="2"/>
        <v>24172.729701313314</v>
      </c>
      <c r="O16" s="20">
        <f t="shared" si="3"/>
        <v>28240.5</v>
      </c>
      <c r="P16" s="20"/>
      <c r="Q16" s="20">
        <f t="shared" si="13"/>
        <v>-1571.3273636284976</v>
      </c>
      <c r="R16" s="20">
        <f t="shared" si="11"/>
        <v>24172.72970131331</v>
      </c>
      <c r="S16" s="20"/>
      <c r="T16" s="21"/>
      <c r="U16" s="11"/>
      <c r="X16" s="11"/>
      <c r="Y16" s="7"/>
      <c r="Z16" s="7"/>
      <c r="AM16" s="11"/>
      <c r="AN16" s="7"/>
      <c r="AO16" s="7"/>
      <c r="AP16" s="7"/>
    </row>
    <row r="17" spans="2:45">
      <c r="B17" s="19">
        <f t="shared" si="4"/>
        <v>10</v>
      </c>
      <c r="C17" s="5">
        <f t="shared" si="5"/>
        <v>1104622.1254112048</v>
      </c>
      <c r="D17" s="5">
        <f t="shared" si="14"/>
        <v>65621.116361061664</v>
      </c>
      <c r="E17" s="5">
        <v>0</v>
      </c>
      <c r="F17" s="5">
        <f>C17+D17-E17</f>
        <v>1170243.2417722663</v>
      </c>
      <c r="G17" s="5">
        <f>income_tax_rate*D17+cap_gains_tax_rate*(C17-(C7+SUM(E8:E17)))</f>
        <v>23660.709538052295</v>
      </c>
      <c r="H17" s="5">
        <f>C$7*(income_tax_rate*build_value/depr_years-10*depr_recapture*build_value/depr_years)</f>
        <v>-62545.454545454544</v>
      </c>
      <c r="I17" s="5">
        <f t="shared" si="0"/>
        <v>1084037.0776887594</v>
      </c>
      <c r="J17" s="5">
        <f t="shared" si="8"/>
        <v>730000</v>
      </c>
      <c r="K17" s="5">
        <f>int_rate*J16+J16</f>
        <v>772260</v>
      </c>
      <c r="L17" s="5">
        <f t="shared" si="10"/>
        <v>14090.999999999998</v>
      </c>
      <c r="M17" s="5">
        <f t="shared" si="1"/>
        <v>397983.24177226634</v>
      </c>
      <c r="N17" s="5">
        <f t="shared" si="2"/>
        <v>325868.07768875943</v>
      </c>
      <c r="O17" s="20">
        <f t="shared" si="3"/>
        <v>758169</v>
      </c>
      <c r="P17" s="20"/>
      <c r="Q17" s="20">
        <f t="shared" si="13"/>
        <v>72115.164083506839</v>
      </c>
      <c r="R17" s="20">
        <f t="shared" si="11"/>
        <v>325868.07768875948</v>
      </c>
      <c r="S17" s="20"/>
      <c r="T17" s="21"/>
      <c r="U17" s="11"/>
      <c r="X17" s="11"/>
      <c r="Y17" s="7"/>
      <c r="Z17" s="7"/>
      <c r="AM17" s="11"/>
      <c r="AN17" s="7"/>
      <c r="AO17" s="7"/>
      <c r="AP17" s="7"/>
    </row>
    <row r="18" spans="2:45">
      <c r="N18" s="5"/>
      <c r="AM18" s="11"/>
      <c r="AN18" s="7"/>
      <c r="AO18" s="7"/>
      <c r="AP18" s="7"/>
    </row>
    <row r="19" spans="2:45">
      <c r="E19" s="8" t="s">
        <v>134</v>
      </c>
      <c r="F19" s="8">
        <f>IRR(F7:F17,6%)</f>
        <v>6.0428831757567192E-2</v>
      </c>
      <c r="G19" s="8"/>
      <c r="H19" s="8"/>
      <c r="I19" s="8">
        <f>IRR(I7:I17,0.1)</f>
        <v>4.3418562880632061E-2</v>
      </c>
      <c r="K19" s="8">
        <f>IRR(K7:K17,0.1)</f>
        <v>5.4999999999999938E-2</v>
      </c>
      <c r="L19" s="8"/>
      <c r="M19" s="8">
        <f>IRR(M7:M17,0.1)</f>
        <v>7.3970856701935039E-2</v>
      </c>
      <c r="N19" s="8">
        <f>IRR(N7:N17,0.1)</f>
        <v>6.4376056243434121E-2</v>
      </c>
      <c r="O19" s="8">
        <f>IRR(O7:O17,0.1)</f>
        <v>3.5749999999999948E-2</v>
      </c>
      <c r="P19" s="8"/>
      <c r="Q19" s="8"/>
      <c r="R19" s="8"/>
      <c r="S19" s="8"/>
      <c r="T19" s="8"/>
      <c r="W19" s="22"/>
      <c r="AM19" s="11"/>
      <c r="AN19" s="7"/>
      <c r="AO19" s="7"/>
      <c r="AP19" s="7"/>
    </row>
    <row r="20" spans="2:45">
      <c r="C20" s="6"/>
      <c r="D20" s="6"/>
      <c r="E20" s="6"/>
      <c r="F20" s="6"/>
      <c r="G20" s="6"/>
      <c r="H20" s="6"/>
      <c r="I20" s="6"/>
      <c r="K20" s="6"/>
      <c r="L20" s="6"/>
      <c r="M20" s="6"/>
      <c r="P20" s="7"/>
      <c r="Q20" s="7"/>
      <c r="R20" s="7"/>
      <c r="S20" s="7"/>
      <c r="T20" s="7"/>
      <c r="W20" s="22"/>
      <c r="X20" s="17"/>
      <c r="AO20" s="7"/>
      <c r="AP20" s="7"/>
    </row>
    <row r="21" spans="2:45">
      <c r="C21" s="6"/>
      <c r="D21" s="6"/>
      <c r="E21" s="6"/>
      <c r="F21" s="6"/>
      <c r="G21" s="6"/>
      <c r="H21" s="6"/>
      <c r="I21" s="6"/>
      <c r="K21" s="6"/>
      <c r="L21" s="6"/>
      <c r="M21" s="6"/>
      <c r="P21" s="7"/>
      <c r="Q21" s="7"/>
      <c r="R21" s="7"/>
      <c r="S21" s="7"/>
      <c r="T21" s="7"/>
      <c r="U21" s="11"/>
      <c r="W21" s="11"/>
      <c r="X21" s="7"/>
      <c r="AO21" s="7"/>
      <c r="AP21" s="7"/>
    </row>
    <row r="22" spans="2:45">
      <c r="U22" s="11"/>
      <c r="W22" s="11"/>
      <c r="X22" s="7"/>
      <c r="AO22" s="7"/>
      <c r="AP22" s="7"/>
    </row>
    <row r="23" spans="2:45">
      <c r="B23" s="17" t="s">
        <v>138</v>
      </c>
      <c r="C23" s="13" t="s">
        <v>0</v>
      </c>
      <c r="D23" s="13" t="s">
        <v>1</v>
      </c>
      <c r="E23" s="13" t="s">
        <v>2</v>
      </c>
      <c r="F23" s="13" t="s">
        <v>3</v>
      </c>
      <c r="G23" s="13" t="s">
        <v>4</v>
      </c>
      <c r="H23" s="13" t="s">
        <v>5</v>
      </c>
      <c r="I23" s="13" t="s">
        <v>6</v>
      </c>
      <c r="J23" s="13" t="s">
        <v>7</v>
      </c>
      <c r="K23" s="13" t="s">
        <v>8</v>
      </c>
      <c r="L23" s="13" t="s">
        <v>9</v>
      </c>
      <c r="M23" s="13" t="s">
        <v>10</v>
      </c>
      <c r="N23" s="13" t="s">
        <v>11</v>
      </c>
      <c r="O23" s="61" t="s">
        <v>12</v>
      </c>
      <c r="U23" s="11"/>
      <c r="W23" s="11"/>
      <c r="X23" s="7"/>
      <c r="AO23" s="7"/>
      <c r="AP23" s="7"/>
    </row>
    <row r="24" spans="2:45">
      <c r="B24" s="17" t="s">
        <v>139</v>
      </c>
      <c r="I24" s="9" t="s">
        <v>13</v>
      </c>
      <c r="M24" s="9" t="s">
        <v>14</v>
      </c>
      <c r="N24" s="9" t="s">
        <v>15</v>
      </c>
      <c r="O24" s="16" t="s">
        <v>16</v>
      </c>
      <c r="U24" s="11"/>
      <c r="W24" s="11"/>
      <c r="X24" s="7"/>
      <c r="AO24" s="7"/>
      <c r="AP24" s="7"/>
    </row>
    <row r="25" spans="2:45">
      <c r="I25" s="5" t="s">
        <v>209</v>
      </c>
      <c r="M25" s="5" t="s">
        <v>210</v>
      </c>
      <c r="U25" s="11"/>
      <c r="W25" s="11"/>
      <c r="X25" s="7"/>
      <c r="AO25" s="7"/>
      <c r="AP25" s="7"/>
    </row>
    <row r="26" spans="2:45">
      <c r="U26" s="11"/>
      <c r="W26" s="11"/>
      <c r="X26" s="7"/>
      <c r="AO26" s="7"/>
      <c r="AP26" s="7"/>
    </row>
    <row r="27" spans="2:45">
      <c r="U27" s="11"/>
      <c r="W27" s="11"/>
      <c r="X27" s="7"/>
      <c r="AO27" s="7"/>
      <c r="AP27" s="7"/>
    </row>
    <row r="28" spans="2:45">
      <c r="B28" s="5"/>
      <c r="U28" s="11"/>
      <c r="W28" s="11"/>
      <c r="X28" s="7"/>
      <c r="AO28" s="7"/>
      <c r="AP28" s="7"/>
    </row>
    <row r="29" spans="2:45">
      <c r="B29" s="5"/>
      <c r="U29" s="11"/>
      <c r="W29" s="11"/>
      <c r="X29" s="7"/>
      <c r="AO29" s="7"/>
      <c r="AP29" s="7"/>
    </row>
    <row r="30" spans="2:45">
      <c r="B30" s="5"/>
      <c r="U30" s="11"/>
      <c r="W30" s="11"/>
      <c r="X30" s="7"/>
      <c r="AO30" s="7"/>
      <c r="AP30" s="7"/>
      <c r="AQ30" s="7"/>
      <c r="AR30" s="11"/>
    </row>
    <row r="31" spans="2:45">
      <c r="B31" s="5"/>
      <c r="U31" s="11"/>
      <c r="W31" s="11"/>
      <c r="X31" s="7"/>
      <c r="AO31" s="7"/>
      <c r="AP31" s="7"/>
      <c r="AQ31" s="7"/>
      <c r="AR31" s="11"/>
    </row>
    <row r="32" spans="2:45">
      <c r="B32" s="5"/>
      <c r="U32" s="11"/>
      <c r="W32" s="11"/>
      <c r="X32" s="7"/>
      <c r="AO32" s="7"/>
      <c r="AP32" s="7"/>
      <c r="AS32" s="14"/>
    </row>
    <row r="33" spans="2:42">
      <c r="B33" s="5"/>
      <c r="U33" s="11"/>
      <c r="W33" s="11"/>
      <c r="X33" s="7"/>
      <c r="AO33" s="7"/>
      <c r="AP33" s="7"/>
    </row>
    <row r="34" spans="2:42">
      <c r="B34" s="5"/>
      <c r="U34" s="11"/>
      <c r="W34" s="11"/>
      <c r="X34" s="7"/>
      <c r="AO34" s="7"/>
      <c r="AP34" s="7"/>
    </row>
    <row r="35" spans="2:42">
      <c r="B35" s="5"/>
      <c r="U35" s="11"/>
      <c r="W35" s="11"/>
      <c r="X35" s="7"/>
      <c r="AO35" s="7"/>
      <c r="AP35" s="7"/>
    </row>
    <row r="36" spans="2:42">
      <c r="B36" s="5"/>
      <c r="U36" s="11"/>
      <c r="W36" s="11"/>
      <c r="X36" s="7"/>
      <c r="AO36" s="7"/>
      <c r="AP36" s="7"/>
    </row>
    <row r="37" spans="2:42">
      <c r="B37" s="5"/>
      <c r="U37" s="11"/>
      <c r="W37" s="11"/>
      <c r="X37" s="7"/>
      <c r="AO37" s="7"/>
      <c r="AP37" s="7"/>
    </row>
    <row r="38" spans="2:42">
      <c r="B38" s="5"/>
      <c r="U38" s="11"/>
      <c r="W38" s="11"/>
      <c r="X38" s="7"/>
      <c r="AO38" s="7"/>
      <c r="AP38" s="7"/>
    </row>
    <row r="39" spans="2:42">
      <c r="B39" s="5"/>
      <c r="U39" s="11"/>
      <c r="W39" s="11"/>
      <c r="X39" s="7"/>
      <c r="AO39" s="7"/>
      <c r="AP39" s="7"/>
    </row>
    <row r="40" spans="2:42">
      <c r="B40" s="5"/>
      <c r="N40" s="5"/>
      <c r="O40" s="5"/>
      <c r="U40" s="11"/>
      <c r="W40" s="11"/>
      <c r="X40" s="7"/>
      <c r="AO40" s="7"/>
      <c r="AP40" s="7"/>
    </row>
    <row r="41" spans="2:42">
      <c r="N41" s="5"/>
      <c r="O41" s="5"/>
      <c r="U41" s="11"/>
      <c r="W41" s="11"/>
      <c r="AO41" s="7"/>
      <c r="AP41" s="7"/>
    </row>
    <row r="42" spans="2:42">
      <c r="N42" s="5"/>
      <c r="O42" s="5"/>
      <c r="U42" s="11"/>
      <c r="W42" s="11"/>
      <c r="AO42" s="7"/>
      <c r="AP42" s="7"/>
    </row>
    <row r="43" spans="2:42">
      <c r="F43" s="6"/>
      <c r="G43" s="9"/>
      <c r="H43" s="9"/>
      <c r="I43" s="6"/>
      <c r="N43" s="5"/>
      <c r="O43" s="5"/>
      <c r="W43" s="11"/>
      <c r="AO43" s="7"/>
      <c r="AP43" s="7"/>
    </row>
    <row r="44" spans="2:42">
      <c r="F44" s="9"/>
      <c r="G44" s="8"/>
      <c r="H44" s="8"/>
      <c r="I44" s="6"/>
      <c r="N44" s="5"/>
      <c r="O44" s="5"/>
      <c r="AO44" s="7"/>
      <c r="AP44" s="7"/>
    </row>
    <row r="45" spans="2:42">
      <c r="D45" s="8"/>
      <c r="F45" s="9"/>
      <c r="G45" s="8"/>
      <c r="H45" s="8"/>
      <c r="I45" s="6"/>
      <c r="N45" s="5"/>
      <c r="O45" s="5"/>
      <c r="AO45" s="7"/>
      <c r="AP45" s="7"/>
    </row>
    <row r="46" spans="2:42">
      <c r="AO46" s="7"/>
      <c r="AP46" s="7"/>
    </row>
    <row r="47" spans="2:42">
      <c r="AM47" s="5"/>
      <c r="AO47" s="7"/>
      <c r="AP47" s="7"/>
    </row>
    <row r="48" spans="2:42">
      <c r="AM48" s="5"/>
      <c r="AO48" s="11"/>
      <c r="AP48" s="11"/>
    </row>
    <row r="49" spans="39:44">
      <c r="AM49" s="5"/>
      <c r="AO49" s="7"/>
      <c r="AP49" s="7"/>
    </row>
    <row r="50" spans="39:44">
      <c r="AM50" s="5"/>
      <c r="AO50" s="11"/>
      <c r="AP50" s="11"/>
    </row>
    <row r="51" spans="39:44">
      <c r="AM51" s="5"/>
      <c r="AO51" s="7"/>
      <c r="AP51" s="7"/>
    </row>
    <row r="52" spans="39:44">
      <c r="AM52" s="5"/>
      <c r="AO52" s="7"/>
      <c r="AP52" s="7"/>
    </row>
    <row r="53" spans="39:44">
      <c r="AM53" s="5"/>
      <c r="AO53" s="11"/>
      <c r="AP53" s="7"/>
      <c r="AQ53" s="11"/>
    </row>
    <row r="54" spans="39:44">
      <c r="AM54" s="5"/>
      <c r="AO54" s="11"/>
      <c r="AP54" s="7"/>
      <c r="AQ54" s="11"/>
    </row>
    <row r="55" spans="39:44">
      <c r="AM55" s="5"/>
      <c r="AO55" s="11"/>
      <c r="AP55" s="7"/>
      <c r="AQ55" s="11"/>
    </row>
    <row r="56" spans="39:44">
      <c r="AM56" s="5"/>
      <c r="AO56" s="7"/>
      <c r="AP56" s="7"/>
    </row>
    <row r="57" spans="39:44">
      <c r="AM57" s="5"/>
      <c r="AO57" s="11"/>
      <c r="AP57" s="7"/>
      <c r="AQ57" s="11"/>
      <c r="AR57" s="7"/>
    </row>
    <row r="58" spans="39:44">
      <c r="AM58" s="5"/>
      <c r="AO58" s="11"/>
      <c r="AP58" s="7"/>
      <c r="AQ58" s="11"/>
    </row>
    <row r="59" spans="39:44">
      <c r="AM59" s="5"/>
      <c r="AO59" s="11"/>
      <c r="AP59" s="7"/>
      <c r="AQ59" s="11"/>
    </row>
    <row r="60" spans="39:44">
      <c r="AM60" s="5"/>
      <c r="AO60" s="11"/>
      <c r="AP60" s="7"/>
      <c r="AQ60" s="11"/>
    </row>
    <row r="61" spans="39:44">
      <c r="AM61" s="5"/>
      <c r="AO61" s="7"/>
      <c r="AP61" s="7"/>
      <c r="AQ61" s="11"/>
    </row>
    <row r="62" spans="39:44">
      <c r="AM62" s="5"/>
      <c r="AO62" s="7"/>
      <c r="AP62" s="7"/>
    </row>
    <row r="63" spans="39:44">
      <c r="AM63" s="5"/>
      <c r="AO63" s="7"/>
      <c r="AP63" s="7"/>
    </row>
    <row r="64" spans="39:44">
      <c r="AM64" s="5"/>
      <c r="AO64" s="7"/>
      <c r="AP64" s="7"/>
    </row>
    <row r="65" spans="22:256">
      <c r="AM65" s="5"/>
      <c r="AO65" s="7"/>
      <c r="AP65" s="7"/>
    </row>
    <row r="66" spans="22:256">
      <c r="AM66" s="5"/>
      <c r="AO66" s="7"/>
      <c r="AP66" s="7"/>
    </row>
    <row r="67" spans="22:256">
      <c r="AM67" s="5"/>
      <c r="AO67" s="7"/>
      <c r="AP67" s="7"/>
    </row>
    <row r="78" spans="22:256">
      <c r="V78" s="8"/>
      <c r="W78" s="8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8156" spans="3:13">
      <c r="C8156" s="6"/>
      <c r="D8156" s="6"/>
      <c r="E8156" s="6"/>
      <c r="F8156" s="6"/>
      <c r="G8156" s="6"/>
      <c r="H8156" s="6"/>
      <c r="I8156" s="6"/>
      <c r="K8156" s="6"/>
      <c r="L8156" s="6"/>
      <c r="M8156" s="6"/>
    </row>
    <row r="8157" spans="3:13">
      <c r="C8157" s="6"/>
      <c r="D8157" s="6"/>
      <c r="E8157" s="6"/>
      <c r="F8157" s="6"/>
      <c r="G8157" s="6"/>
      <c r="H8157" s="6"/>
      <c r="I8157" s="6"/>
      <c r="K8157" s="6"/>
      <c r="L8157" s="6"/>
      <c r="M8157" s="6"/>
    </row>
    <row r="8158" spans="3:13">
      <c r="C8158" s="6"/>
      <c r="D8158" s="6"/>
      <c r="E8158" s="6"/>
      <c r="F8158" s="6"/>
      <c r="G8158" s="6"/>
      <c r="H8158" s="6"/>
      <c r="I8158" s="6"/>
      <c r="K8158" s="6"/>
      <c r="L8158" s="6"/>
      <c r="M8158" s="6"/>
    </row>
    <row r="8159" spans="3:13">
      <c r="C8159" s="6"/>
      <c r="D8159" s="6"/>
      <c r="E8159" s="6"/>
      <c r="F8159" s="6"/>
      <c r="G8159" s="6"/>
      <c r="H8159" s="6"/>
      <c r="I8159" s="6"/>
      <c r="K8159" s="6"/>
      <c r="L8159" s="6"/>
      <c r="M8159" s="6"/>
    </row>
    <row r="8160" spans="3:13">
      <c r="C8160" s="6"/>
      <c r="D8160" s="6"/>
      <c r="E8160" s="6"/>
      <c r="F8160" s="6"/>
      <c r="G8160" s="6"/>
      <c r="H8160" s="6"/>
      <c r="I8160" s="6"/>
      <c r="K8160" s="6"/>
      <c r="L8160" s="6"/>
      <c r="M8160" s="6"/>
    </row>
    <row r="8161" spans="3:13">
      <c r="C8161" s="6"/>
      <c r="D8161" s="6"/>
      <c r="E8161" s="6"/>
      <c r="F8161" s="6"/>
      <c r="G8161" s="6"/>
      <c r="H8161" s="6"/>
      <c r="I8161" s="6"/>
      <c r="K8161" s="6"/>
      <c r="L8161" s="6"/>
      <c r="M8161" s="6"/>
    </row>
    <row r="8162" spans="3:13">
      <c r="C8162" s="6"/>
      <c r="D8162" s="6"/>
      <c r="E8162" s="6"/>
      <c r="F8162" s="6"/>
      <c r="G8162" s="6"/>
      <c r="H8162" s="6"/>
      <c r="I8162" s="6"/>
      <c r="K8162" s="6"/>
      <c r="L8162" s="6"/>
      <c r="M8162" s="6"/>
    </row>
    <row r="8163" spans="3:13">
      <c r="C8163" s="6"/>
      <c r="D8163" s="6"/>
      <c r="E8163" s="6"/>
      <c r="F8163" s="6"/>
      <c r="G8163" s="6"/>
      <c r="H8163" s="6"/>
      <c r="I8163" s="6"/>
      <c r="K8163" s="6"/>
      <c r="L8163" s="6"/>
      <c r="M8163" s="6"/>
    </row>
    <row r="8164" spans="3:13">
      <c r="C8164" s="6"/>
      <c r="D8164" s="6"/>
      <c r="E8164" s="6"/>
      <c r="F8164" s="6"/>
      <c r="G8164" s="6"/>
      <c r="H8164" s="6"/>
      <c r="I8164" s="6"/>
      <c r="K8164" s="6"/>
      <c r="L8164" s="6"/>
      <c r="M8164" s="6"/>
    </row>
    <row r="8165" spans="3:13">
      <c r="C8165" s="6"/>
      <c r="D8165" s="6"/>
      <c r="E8165" s="6"/>
      <c r="F8165" s="6"/>
      <c r="G8165" s="6"/>
      <c r="H8165" s="6"/>
      <c r="I8165" s="6"/>
      <c r="K8165" s="6"/>
      <c r="L8165" s="6"/>
      <c r="M8165" s="6"/>
    </row>
    <row r="8166" spans="3:13">
      <c r="C8166" s="6"/>
      <c r="D8166" s="6"/>
      <c r="E8166" s="6"/>
      <c r="F8166" s="6"/>
      <c r="G8166" s="6"/>
      <c r="H8166" s="6"/>
      <c r="I8166" s="6"/>
      <c r="K8166" s="6"/>
      <c r="L8166" s="6"/>
      <c r="M8166" s="6"/>
    </row>
    <row r="8167" spans="3:13">
      <c r="C8167" s="6"/>
      <c r="D8167" s="6"/>
      <c r="E8167" s="6"/>
      <c r="F8167" s="6"/>
      <c r="G8167" s="6"/>
      <c r="H8167" s="6"/>
      <c r="I8167" s="6"/>
      <c r="K8167" s="6"/>
      <c r="L8167" s="6"/>
      <c r="M8167" s="6"/>
    </row>
    <row r="8168" spans="3:13">
      <c r="C8168" s="6"/>
      <c r="D8168" s="6"/>
      <c r="E8168" s="6"/>
      <c r="F8168" s="6"/>
      <c r="G8168" s="6"/>
      <c r="H8168" s="6"/>
      <c r="I8168" s="6"/>
      <c r="K8168" s="6"/>
      <c r="L8168" s="6"/>
      <c r="M8168" s="6"/>
    </row>
    <row r="8169" spans="3:13">
      <c r="C8169" s="6"/>
      <c r="D8169" s="6"/>
      <c r="E8169" s="6"/>
      <c r="F8169" s="6"/>
      <c r="G8169" s="6"/>
      <c r="H8169" s="6"/>
      <c r="I8169" s="6"/>
      <c r="K8169" s="6"/>
      <c r="L8169" s="6"/>
      <c r="M8169" s="6"/>
    </row>
    <row r="8170" spans="3:13">
      <c r="C8170" s="6"/>
      <c r="D8170" s="6"/>
      <c r="E8170" s="6"/>
      <c r="F8170" s="6"/>
      <c r="G8170" s="6"/>
      <c r="H8170" s="6"/>
      <c r="I8170" s="6"/>
      <c r="K8170" s="6"/>
      <c r="L8170" s="6"/>
      <c r="M8170" s="6"/>
    </row>
    <row r="8171" spans="3:13">
      <c r="C8171" s="6"/>
      <c r="D8171" s="6"/>
      <c r="E8171" s="6"/>
      <c r="F8171" s="6"/>
      <c r="G8171" s="6"/>
      <c r="H8171" s="6"/>
      <c r="I8171" s="6"/>
      <c r="K8171" s="6"/>
      <c r="L8171" s="6"/>
      <c r="M8171" s="6"/>
    </row>
    <row r="8172" spans="3:13">
      <c r="C8172" s="6"/>
      <c r="D8172" s="6"/>
      <c r="E8172" s="6"/>
      <c r="F8172" s="6"/>
      <c r="G8172" s="6"/>
      <c r="H8172" s="6"/>
      <c r="I8172" s="6"/>
      <c r="K8172" s="6"/>
      <c r="L8172" s="6"/>
      <c r="M8172" s="6"/>
    </row>
    <row r="8173" spans="3:13">
      <c r="C8173" s="6"/>
      <c r="D8173" s="6"/>
      <c r="E8173" s="6"/>
      <c r="F8173" s="6"/>
      <c r="G8173" s="6"/>
      <c r="H8173" s="6"/>
      <c r="I8173" s="6"/>
      <c r="K8173" s="6"/>
      <c r="L8173" s="6"/>
      <c r="M8173" s="6"/>
    </row>
    <row r="8174" spans="3:13">
      <c r="C8174" s="6"/>
      <c r="D8174" s="6"/>
      <c r="E8174" s="6"/>
      <c r="F8174" s="6"/>
      <c r="G8174" s="6"/>
      <c r="H8174" s="6"/>
      <c r="I8174" s="6"/>
      <c r="K8174" s="6"/>
      <c r="L8174" s="6"/>
      <c r="M8174" s="6"/>
    </row>
    <row r="8175" spans="3:13">
      <c r="C8175" s="6"/>
      <c r="D8175" s="6"/>
      <c r="E8175" s="6"/>
      <c r="F8175" s="6"/>
      <c r="G8175" s="6"/>
      <c r="H8175" s="6"/>
      <c r="I8175" s="6"/>
      <c r="K8175" s="6"/>
      <c r="L8175" s="6"/>
      <c r="M8175" s="6"/>
    </row>
    <row r="8176" spans="3:13">
      <c r="C8176" s="6"/>
      <c r="D8176" s="6"/>
      <c r="E8176" s="6"/>
      <c r="F8176" s="6"/>
      <c r="G8176" s="6"/>
      <c r="H8176" s="6"/>
      <c r="I8176" s="6"/>
      <c r="K8176" s="6"/>
      <c r="L8176" s="6"/>
      <c r="M8176" s="6"/>
    </row>
    <row r="8177" spans="3:13">
      <c r="C8177" s="6"/>
      <c r="D8177" s="6"/>
      <c r="E8177" s="6"/>
      <c r="F8177" s="6"/>
      <c r="G8177" s="6"/>
      <c r="H8177" s="6"/>
      <c r="I8177" s="6"/>
      <c r="K8177" s="6"/>
      <c r="L8177" s="6"/>
      <c r="M8177" s="6"/>
    </row>
    <row r="8178" spans="3:13">
      <c r="C8178" s="6"/>
      <c r="D8178" s="6"/>
      <c r="E8178" s="6"/>
      <c r="F8178" s="6"/>
      <c r="G8178" s="6"/>
      <c r="H8178" s="6"/>
      <c r="I8178" s="6"/>
      <c r="K8178" s="6"/>
      <c r="L8178" s="6"/>
      <c r="M8178" s="6"/>
    </row>
    <row r="8179" spans="3:13">
      <c r="C8179" s="6"/>
      <c r="D8179" s="6"/>
      <c r="E8179" s="6"/>
      <c r="F8179" s="6"/>
      <c r="G8179" s="6"/>
      <c r="H8179" s="6"/>
      <c r="I8179" s="6"/>
      <c r="K8179" s="6"/>
      <c r="L8179" s="6"/>
      <c r="M8179" s="6"/>
    </row>
    <row r="8180" spans="3:13">
      <c r="C8180" s="6"/>
      <c r="D8180" s="6"/>
      <c r="E8180" s="6"/>
      <c r="F8180" s="6"/>
      <c r="G8180" s="6"/>
      <c r="H8180" s="6"/>
      <c r="I8180" s="6"/>
      <c r="K8180" s="6"/>
      <c r="L8180" s="6"/>
      <c r="M8180" s="6"/>
    </row>
    <row r="8181" spans="3:13">
      <c r="C8181" s="6"/>
      <c r="D8181" s="6"/>
      <c r="E8181" s="6"/>
      <c r="F8181" s="6"/>
      <c r="G8181" s="6"/>
      <c r="H8181" s="6"/>
      <c r="I8181" s="6"/>
      <c r="K8181" s="6"/>
      <c r="L8181" s="6"/>
      <c r="M8181" s="6"/>
    </row>
    <row r="8182" spans="3:13">
      <c r="C8182" s="6"/>
      <c r="D8182" s="6"/>
      <c r="E8182" s="6"/>
      <c r="F8182" s="6"/>
      <c r="G8182" s="6"/>
      <c r="H8182" s="6"/>
      <c r="I8182" s="6"/>
      <c r="K8182" s="6"/>
      <c r="L8182" s="6"/>
      <c r="M8182" s="6"/>
    </row>
    <row r="8183" spans="3:13">
      <c r="C8183" s="6"/>
      <c r="D8183" s="6"/>
      <c r="E8183" s="6"/>
      <c r="F8183" s="6"/>
      <c r="G8183" s="6"/>
      <c r="H8183" s="6"/>
      <c r="I8183" s="6"/>
      <c r="K8183" s="6"/>
      <c r="L8183" s="6"/>
      <c r="M8183" s="6"/>
    </row>
    <row r="8184" spans="3:13">
      <c r="C8184" s="6"/>
      <c r="D8184" s="6"/>
      <c r="E8184" s="6"/>
      <c r="F8184" s="6"/>
      <c r="G8184" s="6"/>
      <c r="H8184" s="6"/>
      <c r="I8184" s="6"/>
      <c r="K8184" s="6"/>
      <c r="L8184" s="6"/>
      <c r="M8184" s="6"/>
    </row>
    <row r="8185" spans="3:13">
      <c r="C8185" s="6"/>
      <c r="D8185" s="6"/>
      <c r="E8185" s="6"/>
      <c r="F8185" s="6"/>
      <c r="G8185" s="6"/>
      <c r="H8185" s="6"/>
      <c r="I8185" s="6"/>
      <c r="K8185" s="6"/>
      <c r="L8185" s="6"/>
      <c r="M8185" s="6"/>
    </row>
    <row r="8186" spans="3:13">
      <c r="C8186" s="6"/>
      <c r="D8186" s="6"/>
      <c r="E8186" s="6"/>
      <c r="F8186" s="6"/>
      <c r="G8186" s="6"/>
      <c r="H8186" s="6"/>
      <c r="I8186" s="6"/>
      <c r="K8186" s="6"/>
      <c r="L8186" s="6"/>
      <c r="M8186" s="6"/>
    </row>
    <row r="8187" spans="3:13">
      <c r="C8187" s="6"/>
      <c r="D8187" s="6"/>
      <c r="E8187" s="6"/>
      <c r="F8187" s="6"/>
      <c r="G8187" s="6"/>
      <c r="H8187" s="6"/>
      <c r="I8187" s="6"/>
      <c r="K8187" s="6"/>
      <c r="L8187" s="6"/>
      <c r="M8187" s="6"/>
    </row>
  </sheetData>
  <mergeCells count="14">
    <mergeCell ref="O5:O6"/>
    <mergeCell ref="B5:B6"/>
    <mergeCell ref="I5:I6"/>
    <mergeCell ref="J5:J6"/>
    <mergeCell ref="K5:K6"/>
    <mergeCell ref="L5:L6"/>
    <mergeCell ref="M5:M6"/>
    <mergeCell ref="N5:N6"/>
    <mergeCell ref="D5:D6"/>
    <mergeCell ref="C5:C6"/>
    <mergeCell ref="E5:E6"/>
    <mergeCell ref="F5:F6"/>
    <mergeCell ref="G5:G6"/>
    <mergeCell ref="H5:H6"/>
  </mergeCells>
  <phoneticPr fontId="0" type="noConversion"/>
  <pageMargins left="0.5" right="0.5" top="0.5" bottom="0.55000000000000004" header="0.5" footer="0.5"/>
  <pageSetup scale="70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23"/>
  <sheetViews>
    <sheetView workbookViewId="0"/>
  </sheetViews>
  <sheetFormatPr baseColWidth="10" defaultRowHeight="16"/>
  <cols>
    <col min="2" max="2" width="31.7109375" bestFit="1" customWidth="1"/>
  </cols>
  <sheetData>
    <row r="2" spans="2:18">
      <c r="B2" s="23" t="s">
        <v>131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</row>
    <row r="3" spans="2:18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</row>
    <row r="4" spans="2:18">
      <c r="B4" s="6"/>
      <c r="C4" s="9" t="s">
        <v>17</v>
      </c>
      <c r="D4" s="5"/>
      <c r="E4" s="5"/>
      <c r="F4" s="5"/>
      <c r="G4" s="5"/>
      <c r="H4" s="5"/>
      <c r="I4" s="5"/>
      <c r="J4" s="5"/>
      <c r="K4" s="5"/>
      <c r="L4" s="9" t="s">
        <v>20</v>
      </c>
      <c r="M4" s="9" t="s">
        <v>21</v>
      </c>
      <c r="N4" s="17" t="s">
        <v>22</v>
      </c>
      <c r="O4" s="17" t="s">
        <v>23</v>
      </c>
      <c r="P4" s="6"/>
      <c r="Q4" s="6"/>
      <c r="R4" s="6"/>
    </row>
    <row r="5" spans="2:18">
      <c r="B5" s="6" t="s">
        <v>27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59">
        <v>6</v>
      </c>
      <c r="I5" s="59">
        <v>7</v>
      </c>
      <c r="J5" s="59">
        <v>8</v>
      </c>
      <c r="K5" s="59">
        <v>9</v>
      </c>
      <c r="L5" s="9" t="s">
        <v>25</v>
      </c>
      <c r="M5" s="9" t="s">
        <v>26</v>
      </c>
      <c r="N5" s="17" t="s">
        <v>25</v>
      </c>
      <c r="O5" s="17" t="s">
        <v>25</v>
      </c>
      <c r="P5" s="6"/>
      <c r="Q5" s="6"/>
      <c r="R5" s="6"/>
    </row>
    <row r="6" spans="2:18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6"/>
      <c r="P6" s="6"/>
      <c r="Q6" s="6"/>
      <c r="R6" s="6"/>
    </row>
    <row r="7" spans="2:18">
      <c r="B7" s="10" t="s">
        <v>108</v>
      </c>
      <c r="C7" s="5">
        <f>Calc!D8</f>
        <v>60000</v>
      </c>
      <c r="D7" s="5">
        <f>Calc!D9</f>
        <v>60600</v>
      </c>
      <c r="E7" s="5">
        <f>Calc!D10</f>
        <v>61206</v>
      </c>
      <c r="F7" s="5">
        <f>Calc!D11</f>
        <v>61818.06</v>
      </c>
      <c r="G7" s="5">
        <f>Calc!D12</f>
        <v>62436.240599999997</v>
      </c>
      <c r="H7" s="5">
        <f>Calc!D13</f>
        <v>63060.603006000005</v>
      </c>
      <c r="I7" s="5">
        <f>Calc!D14</f>
        <v>63691.209036059998</v>
      </c>
      <c r="J7" s="5">
        <f>Calc!D15</f>
        <v>64328.121126420599</v>
      </c>
      <c r="K7" s="5">
        <f>Calc!D16</f>
        <v>64971.402337684813</v>
      </c>
      <c r="L7" s="5">
        <f>Calc!D17</f>
        <v>65621.116361061664</v>
      </c>
      <c r="M7" s="15" t="s">
        <v>28</v>
      </c>
      <c r="N7" s="5">
        <f>Calc!C17</f>
        <v>1104622.1254112048</v>
      </c>
      <c r="O7" s="5"/>
      <c r="P7" s="6"/>
      <c r="Q7" s="6"/>
      <c r="R7" s="6"/>
    </row>
    <row r="8" spans="2:18">
      <c r="B8" s="63" t="s">
        <v>115</v>
      </c>
      <c r="C8" s="5">
        <f>Calc!$C$7*build_value/depr_years</f>
        <v>29090.909090909092</v>
      </c>
      <c r="D8" s="5">
        <f>Calc!$C$7*build_value/depr_years</f>
        <v>29090.909090909092</v>
      </c>
      <c r="E8" s="5">
        <f>Calc!$C$7*build_value/depr_years</f>
        <v>29090.909090909092</v>
      </c>
      <c r="F8" s="5">
        <f>Calc!$C$7*build_value/depr_years</f>
        <v>29090.909090909092</v>
      </c>
      <c r="G8" s="5">
        <f>Calc!$C$7*build_value/depr_years</f>
        <v>29090.909090909092</v>
      </c>
      <c r="H8" s="5">
        <f>Calc!$C$7*build_value/depr_years</f>
        <v>29090.909090909092</v>
      </c>
      <c r="I8" s="5">
        <f>Calc!$C$7*build_value/depr_years</f>
        <v>29090.909090909092</v>
      </c>
      <c r="J8" s="5">
        <f>Calc!$C$7*build_value/depr_years</f>
        <v>29090.909090909092</v>
      </c>
      <c r="K8" s="5">
        <f>Calc!$C$7*build_value/depr_years</f>
        <v>29090.909090909092</v>
      </c>
      <c r="L8" s="5">
        <f>Calc!$C$7*build_value/depr_years</f>
        <v>29090.909090909092</v>
      </c>
      <c r="M8" s="60" t="s">
        <v>152</v>
      </c>
      <c r="N8" s="5">
        <f>Calc!C7-SUM(C8:L8)+SUM(C15:L15)</f>
        <v>809090.90909090906</v>
      </c>
      <c r="O8" s="5"/>
      <c r="P8" s="6"/>
      <c r="Q8" s="6"/>
      <c r="R8" s="6"/>
    </row>
    <row r="9" spans="2:18">
      <c r="B9" s="63" t="s">
        <v>148</v>
      </c>
      <c r="C9" s="5">
        <f t="shared" ref="C9:L9" si="0">C7-C8</f>
        <v>30909.090909090908</v>
      </c>
      <c r="D9" s="5">
        <f t="shared" si="0"/>
        <v>31509.090909090908</v>
      </c>
      <c r="E9" s="5">
        <f t="shared" si="0"/>
        <v>32115.090909090908</v>
      </c>
      <c r="F9" s="5">
        <f t="shared" si="0"/>
        <v>32727.150909090906</v>
      </c>
      <c r="G9" s="5">
        <f t="shared" si="0"/>
        <v>33345.331509090902</v>
      </c>
      <c r="H9" s="5">
        <f t="shared" si="0"/>
        <v>33969.693915090917</v>
      </c>
      <c r="I9" s="5">
        <f t="shared" si="0"/>
        <v>34600.299945150909</v>
      </c>
      <c r="J9" s="5">
        <f t="shared" si="0"/>
        <v>35237.212035511504</v>
      </c>
      <c r="K9" s="5">
        <f t="shared" si="0"/>
        <v>35880.493246775717</v>
      </c>
      <c r="L9" s="5">
        <f t="shared" si="0"/>
        <v>36530.207270152576</v>
      </c>
      <c r="M9" s="15" t="s">
        <v>30</v>
      </c>
      <c r="N9" s="5">
        <f>N7-N8</f>
        <v>295531.2163202957</v>
      </c>
      <c r="O9" s="5">
        <f>L9+N9</f>
        <v>332061.42359044828</v>
      </c>
      <c r="P9" s="6"/>
      <c r="Q9" s="6"/>
      <c r="R9" s="6"/>
    </row>
    <row r="10" spans="2:18">
      <c r="B10" s="63" t="s">
        <v>111</v>
      </c>
      <c r="C10" s="5">
        <f t="shared" ref="C10:L10" si="1">income_tax_rate*C9</f>
        <v>10818.181818181818</v>
      </c>
      <c r="D10" s="5">
        <f t="shared" si="1"/>
        <v>11028.181818181818</v>
      </c>
      <c r="E10" s="5">
        <f t="shared" si="1"/>
        <v>11240.281818181817</v>
      </c>
      <c r="F10" s="5">
        <f t="shared" si="1"/>
        <v>11454.502818181816</v>
      </c>
      <c r="G10" s="5">
        <f t="shared" si="1"/>
        <v>11670.866028181816</v>
      </c>
      <c r="H10" s="5">
        <f t="shared" si="1"/>
        <v>11889.392870281819</v>
      </c>
      <c r="I10" s="5">
        <f t="shared" si="1"/>
        <v>12110.104980802818</v>
      </c>
      <c r="J10" s="5">
        <f t="shared" si="1"/>
        <v>12333.024212429025</v>
      </c>
      <c r="K10" s="5">
        <f t="shared" si="1"/>
        <v>12558.172636371501</v>
      </c>
      <c r="L10" s="5">
        <f t="shared" si="1"/>
        <v>12785.572544553401</v>
      </c>
      <c r="M10" s="58" t="s">
        <v>126</v>
      </c>
      <c r="N10" s="81">
        <f>cap_gains_tax_rate*(N7-(Calc!C7+SUM(C15:L15)))+depr_recapture*SUM(C8:L8)</f>
        <v>73420.591538953449</v>
      </c>
      <c r="O10" s="5"/>
      <c r="P10" s="6"/>
      <c r="Q10" s="6"/>
      <c r="R10" s="6"/>
    </row>
    <row r="11" spans="2:18">
      <c r="B11" s="63" t="s">
        <v>149</v>
      </c>
      <c r="C11" s="5">
        <f t="shared" ref="C11:L11" si="2">C9-C10</f>
        <v>20090.909090909088</v>
      </c>
      <c r="D11" s="5">
        <f t="shared" si="2"/>
        <v>20480.909090909088</v>
      </c>
      <c r="E11" s="5">
        <f t="shared" si="2"/>
        <v>20874.80909090909</v>
      </c>
      <c r="F11" s="5">
        <f t="shared" si="2"/>
        <v>21272.64809090909</v>
      </c>
      <c r="G11" s="5">
        <f t="shared" si="2"/>
        <v>21674.465480909086</v>
      </c>
      <c r="H11" s="5">
        <f t="shared" si="2"/>
        <v>22080.301044809097</v>
      </c>
      <c r="I11" s="5">
        <f t="shared" si="2"/>
        <v>22490.194964348091</v>
      </c>
      <c r="J11" s="5">
        <f t="shared" si="2"/>
        <v>22904.18782308248</v>
      </c>
      <c r="K11" s="5">
        <f t="shared" si="2"/>
        <v>23322.320610404218</v>
      </c>
      <c r="L11" s="5">
        <f t="shared" si="2"/>
        <v>23744.634725599175</v>
      </c>
      <c r="M11" s="60" t="s">
        <v>127</v>
      </c>
      <c r="N11" s="5">
        <f>N9-N10</f>
        <v>222110.62478134225</v>
      </c>
      <c r="O11" s="5">
        <f>L11+N11</f>
        <v>245855.25950694142</v>
      </c>
      <c r="P11" s="6"/>
      <c r="Q11" s="6"/>
      <c r="R11" s="6"/>
    </row>
    <row r="12" spans="2:18">
      <c r="B12" s="10"/>
      <c r="C12" s="5"/>
      <c r="D12" s="5"/>
      <c r="E12" s="5"/>
      <c r="F12" s="5"/>
      <c r="G12" s="5"/>
      <c r="H12" s="5"/>
      <c r="I12" s="5"/>
      <c r="J12" s="5"/>
      <c r="K12" s="5"/>
      <c r="L12" s="5"/>
      <c r="M12" s="15"/>
      <c r="N12" s="5"/>
      <c r="O12" s="5"/>
      <c r="P12" s="6"/>
      <c r="Q12" s="6"/>
      <c r="R12" s="6"/>
    </row>
    <row r="13" spans="2:18">
      <c r="B13" s="10" t="s">
        <v>31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15"/>
      <c r="N13" s="5"/>
      <c r="O13" s="5"/>
      <c r="P13" s="6"/>
      <c r="Q13" s="6"/>
      <c r="R13" s="6"/>
    </row>
    <row r="14" spans="2:18">
      <c r="B14" s="10"/>
      <c r="C14" s="5"/>
      <c r="D14" s="5"/>
      <c r="E14" s="5"/>
      <c r="F14" s="5"/>
      <c r="G14" s="5"/>
      <c r="H14" s="5"/>
      <c r="I14" s="5"/>
      <c r="J14" s="5"/>
      <c r="K14" s="5"/>
      <c r="L14" s="5"/>
      <c r="M14" s="15"/>
      <c r="N14" s="5"/>
      <c r="O14" s="5"/>
      <c r="P14" s="6"/>
      <c r="Q14" s="6"/>
      <c r="R14" s="6"/>
    </row>
    <row r="15" spans="2:18">
      <c r="B15" s="64" t="s">
        <v>118</v>
      </c>
      <c r="C15" s="5">
        <f>Calc!E8</f>
        <v>0</v>
      </c>
      <c r="D15" s="5">
        <f>Calc!E9</f>
        <v>0</v>
      </c>
      <c r="E15" s="5">
        <f>Calc!E10</f>
        <v>50000</v>
      </c>
      <c r="F15" s="5">
        <f>Calc!E11</f>
        <v>0</v>
      </c>
      <c r="G15" s="5">
        <f>Calc!E12</f>
        <v>0</v>
      </c>
      <c r="H15" s="5">
        <f>Calc!E13</f>
        <v>0</v>
      </c>
      <c r="I15" s="5">
        <f>Calc!E14</f>
        <v>0</v>
      </c>
      <c r="J15" s="5">
        <f>Calc!E15</f>
        <v>50000</v>
      </c>
      <c r="K15" s="5">
        <f>Calc!E16</f>
        <v>0</v>
      </c>
      <c r="L15" s="5">
        <f>Calc!E17</f>
        <v>0</v>
      </c>
      <c r="M15" s="15"/>
      <c r="N15" s="5"/>
      <c r="O15" s="5"/>
      <c r="P15" s="6"/>
      <c r="Q15" s="6"/>
      <c r="R15" s="6"/>
    </row>
    <row r="16" spans="2:18">
      <c r="B16" s="63" t="s">
        <v>147</v>
      </c>
      <c r="C16" s="5">
        <f t="shared" ref="C16:L16" si="3">C8</f>
        <v>29090.909090909092</v>
      </c>
      <c r="D16" s="5">
        <f t="shared" si="3"/>
        <v>29090.909090909092</v>
      </c>
      <c r="E16" s="5">
        <f t="shared" si="3"/>
        <v>29090.909090909092</v>
      </c>
      <c r="F16" s="5">
        <f t="shared" si="3"/>
        <v>29090.909090909092</v>
      </c>
      <c r="G16" s="5">
        <f t="shared" si="3"/>
        <v>29090.909090909092</v>
      </c>
      <c r="H16" s="5">
        <f t="shared" si="3"/>
        <v>29090.909090909092</v>
      </c>
      <c r="I16" s="5">
        <f t="shared" si="3"/>
        <v>29090.909090909092</v>
      </c>
      <c r="J16" s="5">
        <f t="shared" si="3"/>
        <v>29090.909090909092</v>
      </c>
      <c r="K16" s="5">
        <f t="shared" si="3"/>
        <v>29090.909090909092</v>
      </c>
      <c r="L16" s="5">
        <f t="shared" si="3"/>
        <v>29090.909090909092</v>
      </c>
      <c r="M16" s="60" t="s">
        <v>153</v>
      </c>
      <c r="N16" s="5">
        <f>N8</f>
        <v>809090.90909090906</v>
      </c>
      <c r="O16" s="5"/>
      <c r="P16" s="6"/>
      <c r="Q16" s="6"/>
      <c r="R16" s="6"/>
    </row>
    <row r="17" spans="2:18">
      <c r="B17" s="63" t="s">
        <v>150</v>
      </c>
      <c r="C17" s="5">
        <f t="shared" ref="C17:L17" si="4">C11-C15+C16</f>
        <v>49181.818181818177</v>
      </c>
      <c r="D17" s="5">
        <f t="shared" si="4"/>
        <v>49571.818181818177</v>
      </c>
      <c r="E17" s="5">
        <f t="shared" si="4"/>
        <v>-34.28181818181838</v>
      </c>
      <c r="F17" s="5">
        <f t="shared" si="4"/>
        <v>50363.557181818178</v>
      </c>
      <c r="G17" s="5">
        <f t="shared" si="4"/>
        <v>50765.374571818174</v>
      </c>
      <c r="H17" s="5">
        <f t="shared" si="4"/>
        <v>51171.210135718189</v>
      </c>
      <c r="I17" s="5">
        <f t="shared" si="4"/>
        <v>51581.104055257179</v>
      </c>
      <c r="J17" s="5">
        <f t="shared" si="4"/>
        <v>1995.0969139915724</v>
      </c>
      <c r="K17" s="5">
        <f t="shared" si="4"/>
        <v>52413.229701313307</v>
      </c>
      <c r="L17" s="5">
        <f t="shared" si="4"/>
        <v>52835.543816508267</v>
      </c>
      <c r="M17" s="15" t="s">
        <v>33</v>
      </c>
      <c r="N17" s="5">
        <f>N11+N16</f>
        <v>1031201.5338722513</v>
      </c>
      <c r="O17" s="5">
        <f>L17+N17</f>
        <v>1084037.0776887597</v>
      </c>
      <c r="P17" s="6"/>
      <c r="Q17" s="6"/>
      <c r="R17" s="6"/>
    </row>
    <row r="18" spans="2:18">
      <c r="B18" s="63" t="s">
        <v>114</v>
      </c>
      <c r="C18" s="5">
        <f t="shared" ref="C18:L18" si="5">C10</f>
        <v>10818.181818181818</v>
      </c>
      <c r="D18" s="5">
        <f t="shared" si="5"/>
        <v>11028.181818181818</v>
      </c>
      <c r="E18" s="5">
        <f t="shared" si="5"/>
        <v>11240.281818181817</v>
      </c>
      <c r="F18" s="5">
        <f t="shared" si="5"/>
        <v>11454.502818181816</v>
      </c>
      <c r="G18" s="5">
        <f t="shared" si="5"/>
        <v>11670.866028181816</v>
      </c>
      <c r="H18" s="5">
        <f t="shared" si="5"/>
        <v>11889.392870281819</v>
      </c>
      <c r="I18" s="5">
        <f t="shared" si="5"/>
        <v>12110.104980802818</v>
      </c>
      <c r="J18" s="5">
        <f t="shared" si="5"/>
        <v>12333.024212429025</v>
      </c>
      <c r="K18" s="5">
        <f t="shared" si="5"/>
        <v>12558.172636371501</v>
      </c>
      <c r="L18" s="5">
        <f t="shared" si="5"/>
        <v>12785.572544553401</v>
      </c>
      <c r="M18" s="58" t="s">
        <v>132</v>
      </c>
      <c r="N18" s="5">
        <f>N10</f>
        <v>73420.591538953449</v>
      </c>
      <c r="O18" s="5"/>
      <c r="P18" s="6"/>
      <c r="Q18" s="6"/>
      <c r="R18" s="6"/>
    </row>
    <row r="19" spans="2:18">
      <c r="B19" s="63" t="s">
        <v>151</v>
      </c>
      <c r="C19" s="5">
        <f t="shared" ref="C19:L19" si="6">C17+C18</f>
        <v>59999.999999999993</v>
      </c>
      <c r="D19" s="5">
        <f t="shared" si="6"/>
        <v>60599.999999999993</v>
      </c>
      <c r="E19" s="5">
        <f t="shared" si="6"/>
        <v>11205.999999999998</v>
      </c>
      <c r="F19" s="5">
        <f t="shared" si="6"/>
        <v>61818.06</v>
      </c>
      <c r="G19" s="5">
        <f t="shared" si="6"/>
        <v>62436.24059999999</v>
      </c>
      <c r="H19" s="5">
        <f t="shared" si="6"/>
        <v>63060.603006000005</v>
      </c>
      <c r="I19" s="5">
        <f t="shared" si="6"/>
        <v>63691.209036059998</v>
      </c>
      <c r="J19" s="5">
        <f t="shared" si="6"/>
        <v>14328.121126420598</v>
      </c>
      <c r="K19" s="5">
        <f t="shared" si="6"/>
        <v>64971.402337684805</v>
      </c>
      <c r="L19" s="5">
        <f t="shared" si="6"/>
        <v>65621.116361061664</v>
      </c>
      <c r="M19" s="15" t="s">
        <v>34</v>
      </c>
      <c r="N19" s="5">
        <f>N17+N18</f>
        <v>1104622.1254112048</v>
      </c>
      <c r="O19" s="5">
        <f>L19+N19</f>
        <v>1170243.2417722663</v>
      </c>
      <c r="P19" s="6"/>
      <c r="Q19" s="6"/>
      <c r="R19" s="6"/>
    </row>
    <row r="20" spans="2:18"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15"/>
      <c r="N20" s="5"/>
      <c r="O20" s="5"/>
      <c r="P20" s="6"/>
      <c r="Q20" s="6"/>
      <c r="R20" s="6"/>
    </row>
    <row r="21" spans="2:18">
      <c r="M21" s="1"/>
    </row>
    <row r="22" spans="2:18">
      <c r="M22" s="1"/>
    </row>
    <row r="23" spans="2:18">
      <c r="M2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48"/>
  <sheetViews>
    <sheetView topLeftCell="A4" workbookViewId="0">
      <selection activeCell="A4" sqref="A4"/>
    </sheetView>
  </sheetViews>
  <sheetFormatPr baseColWidth="10" defaultRowHeight="16"/>
  <cols>
    <col min="1" max="1" width="10.7109375" style="4"/>
    <col min="2" max="2" width="32.28515625" style="4" bestFit="1" customWidth="1"/>
    <col min="3" max="12" width="10.7109375" style="4"/>
    <col min="13" max="13" width="15.28515625" style="4" customWidth="1"/>
    <col min="14" max="16" width="10.7109375" style="4"/>
    <col min="17" max="17" width="12" style="4" bestFit="1" customWidth="1"/>
    <col min="18" max="18" width="13.140625" style="4" bestFit="1" customWidth="1"/>
    <col min="19" max="16384" width="10.7109375" style="4"/>
  </cols>
  <sheetData>
    <row r="1" spans="2:21">
      <c r="B1" s="41"/>
      <c r="C1" s="42"/>
      <c r="D1" s="43"/>
      <c r="E1" s="42"/>
      <c r="F1" s="44"/>
      <c r="G1" s="45"/>
      <c r="H1" s="45"/>
      <c r="I1" s="42"/>
      <c r="J1" s="42"/>
      <c r="K1" s="42"/>
      <c r="L1" s="42"/>
      <c r="M1" s="42"/>
      <c r="N1" s="42"/>
      <c r="O1" s="42"/>
      <c r="P1" s="41"/>
      <c r="Q1" s="41"/>
      <c r="R1" s="41"/>
      <c r="S1" s="41"/>
      <c r="T1" s="41"/>
      <c r="U1" s="41"/>
    </row>
    <row r="2" spans="2:21">
      <c r="B2" s="41"/>
      <c r="C2" s="42"/>
      <c r="D2" s="43"/>
      <c r="E2" s="42"/>
      <c r="F2" s="42"/>
      <c r="G2" s="42"/>
      <c r="H2" s="42"/>
      <c r="I2" s="42"/>
      <c r="J2" s="42"/>
      <c r="K2" s="42"/>
      <c r="L2" s="42"/>
      <c r="M2" s="42"/>
      <c r="N2" s="41"/>
      <c r="O2" s="41"/>
      <c r="P2" s="41"/>
      <c r="Q2" s="41"/>
      <c r="R2" s="41"/>
      <c r="S2" s="41"/>
      <c r="T2" s="41"/>
      <c r="U2" s="41"/>
    </row>
    <row r="3" spans="2:21">
      <c r="B3" s="57" t="s">
        <v>125</v>
      </c>
      <c r="C3" s="42"/>
      <c r="D3" s="42"/>
      <c r="E3" s="42"/>
      <c r="F3" s="42"/>
      <c r="G3" s="42"/>
      <c r="H3" s="42"/>
      <c r="I3" s="41"/>
      <c r="J3" s="42"/>
      <c r="K3" s="42"/>
      <c r="L3" s="42"/>
      <c r="M3" s="42"/>
      <c r="N3" s="41"/>
      <c r="O3" s="41"/>
      <c r="P3" s="41"/>
      <c r="Q3" s="41"/>
      <c r="R3" s="41"/>
      <c r="S3" s="41"/>
      <c r="T3" s="41"/>
      <c r="U3" s="41"/>
    </row>
    <row r="4" spans="2:21">
      <c r="B4" s="41"/>
      <c r="C4" s="46" t="s">
        <v>19</v>
      </c>
      <c r="D4" s="42"/>
      <c r="E4" s="42"/>
      <c r="F4" s="42"/>
      <c r="G4" s="42"/>
      <c r="H4" s="42"/>
      <c r="I4" s="42"/>
      <c r="J4" s="42"/>
      <c r="K4" s="42"/>
      <c r="L4" s="44" t="s">
        <v>113</v>
      </c>
      <c r="M4" s="44" t="s">
        <v>21</v>
      </c>
      <c r="N4" s="44" t="s">
        <v>21</v>
      </c>
      <c r="O4" s="44" t="s">
        <v>23</v>
      </c>
      <c r="P4" s="41"/>
      <c r="Q4" s="41"/>
      <c r="R4" s="41"/>
      <c r="S4" s="41"/>
      <c r="T4" s="41"/>
      <c r="U4" s="41"/>
    </row>
    <row r="5" spans="2:21">
      <c r="B5" s="41"/>
      <c r="C5" s="47">
        <v>1</v>
      </c>
      <c r="D5" s="47">
        <v>2</v>
      </c>
      <c r="E5" s="47">
        <v>3</v>
      </c>
      <c r="F5" s="47">
        <v>4</v>
      </c>
      <c r="G5" s="47">
        <v>5</v>
      </c>
      <c r="H5" s="47">
        <v>6</v>
      </c>
      <c r="I5" s="47">
        <v>7</v>
      </c>
      <c r="J5" s="47">
        <v>8</v>
      </c>
      <c r="K5" s="47">
        <v>9</v>
      </c>
      <c r="L5" s="44" t="s">
        <v>25</v>
      </c>
      <c r="M5" s="44" t="s">
        <v>35</v>
      </c>
      <c r="N5" s="44" t="s">
        <v>25</v>
      </c>
      <c r="O5" s="44" t="s">
        <v>25</v>
      </c>
      <c r="P5" s="41"/>
      <c r="Q5" s="41"/>
      <c r="R5" s="41"/>
      <c r="S5" s="41"/>
      <c r="T5" s="41"/>
      <c r="U5" s="41"/>
    </row>
    <row r="6" spans="2:21"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1"/>
      <c r="Q6" s="41"/>
      <c r="R6" s="41"/>
      <c r="S6" s="41"/>
      <c r="T6" s="41"/>
      <c r="U6" s="41"/>
    </row>
    <row r="7" spans="2:21">
      <c r="B7" s="48" t="s">
        <v>112</v>
      </c>
      <c r="C7" s="49">
        <f>'Property Level Pro-Forma'!C7</f>
        <v>60000</v>
      </c>
      <c r="D7" s="42">
        <f>'Property Level Pro-Forma'!D7</f>
        <v>60600</v>
      </c>
      <c r="E7" s="42">
        <f>'Property Level Pro-Forma'!E7</f>
        <v>61206</v>
      </c>
      <c r="F7" s="42">
        <f>'Property Level Pro-Forma'!F7</f>
        <v>61818.06</v>
      </c>
      <c r="G7" s="42">
        <f>'Property Level Pro-Forma'!G7</f>
        <v>62436.240599999997</v>
      </c>
      <c r="H7" s="42">
        <f>'Property Level Pro-Forma'!H7</f>
        <v>63060.603006000005</v>
      </c>
      <c r="I7" s="42">
        <f>'Property Level Pro-Forma'!I7</f>
        <v>63691.209036059998</v>
      </c>
      <c r="J7" s="42">
        <f>'Property Level Pro-Forma'!J7</f>
        <v>64328.121126420599</v>
      </c>
      <c r="K7" s="42">
        <f>'Property Level Pro-Forma'!K7</f>
        <v>64971.402337684813</v>
      </c>
      <c r="L7" s="42">
        <f>'Property Level Pro-Forma'!L7</f>
        <v>65621.116361061664</v>
      </c>
      <c r="M7" s="44" t="s">
        <v>28</v>
      </c>
      <c r="N7" s="42">
        <f>'Property Level Pro-Forma'!N7</f>
        <v>1104622.1254112048</v>
      </c>
      <c r="O7" s="42"/>
      <c r="P7" s="41"/>
      <c r="Q7" s="41"/>
      <c r="R7" s="41"/>
      <c r="S7" s="41"/>
      <c r="T7" s="41"/>
      <c r="U7" s="41"/>
    </row>
    <row r="8" spans="2:21">
      <c r="B8" s="50" t="s">
        <v>115</v>
      </c>
      <c r="C8" s="49">
        <f>market_price*build_value/depr_years</f>
        <v>29090.909090909092</v>
      </c>
      <c r="D8" s="42">
        <f>'Property Level Pro-Forma'!D8</f>
        <v>29090.909090909092</v>
      </c>
      <c r="E8" s="42">
        <f>'Property Level Pro-Forma'!E8</f>
        <v>29090.909090909092</v>
      </c>
      <c r="F8" s="42">
        <f>'Property Level Pro-Forma'!F8</f>
        <v>29090.909090909092</v>
      </c>
      <c r="G8" s="42">
        <f>'Property Level Pro-Forma'!G8</f>
        <v>29090.909090909092</v>
      </c>
      <c r="H8" s="42">
        <f>'Property Level Pro-Forma'!H8</f>
        <v>29090.909090909092</v>
      </c>
      <c r="I8" s="42">
        <f>'Property Level Pro-Forma'!I8</f>
        <v>29090.909090909092</v>
      </c>
      <c r="J8" s="42">
        <f>'Property Level Pro-Forma'!J8</f>
        <v>29090.909090909092</v>
      </c>
      <c r="K8" s="42">
        <f>'Property Level Pro-Forma'!K8</f>
        <v>29090.909090909092</v>
      </c>
      <c r="L8" s="42">
        <f>'Property Level Pro-Forma'!L8</f>
        <v>29090.909090909092</v>
      </c>
      <c r="M8" s="44" t="s">
        <v>29</v>
      </c>
      <c r="N8" s="42">
        <f>'Property Level Pro-Forma'!N8</f>
        <v>809090.90909090906</v>
      </c>
      <c r="O8" s="42"/>
      <c r="P8" s="41"/>
      <c r="Q8" s="41"/>
      <c r="R8" s="41"/>
      <c r="S8" s="41"/>
      <c r="T8" s="41"/>
      <c r="U8" s="41"/>
    </row>
    <row r="9" spans="2:21">
      <c r="B9" s="50" t="s">
        <v>116</v>
      </c>
      <c r="C9" s="49">
        <f>int_rate*loan_amt</f>
        <v>41250</v>
      </c>
      <c r="D9" s="42">
        <f>int_rate*Calc!J8</f>
        <v>41140</v>
      </c>
      <c r="E9" s="42">
        <f>int_rate*Calc!$J9</f>
        <v>41030</v>
      </c>
      <c r="F9" s="42">
        <f>int_rate*Calc!$J10</f>
        <v>40920</v>
      </c>
      <c r="G9" s="42">
        <f>int_rate*Calc!$J11</f>
        <v>40810</v>
      </c>
      <c r="H9" s="42">
        <f>int_rate*Calc!$J12</f>
        <v>40700</v>
      </c>
      <c r="I9" s="42">
        <f>int_rate*Calc!$J13</f>
        <v>40590</v>
      </c>
      <c r="J9" s="42">
        <f>int_rate*Calc!$J14</f>
        <v>40480</v>
      </c>
      <c r="K9" s="42">
        <f>int_rate*Calc!$J15</f>
        <v>40370</v>
      </c>
      <c r="L9" s="42">
        <f>int_rate*Calc!$J16</f>
        <v>40260</v>
      </c>
      <c r="M9" s="42"/>
      <c r="N9" s="42"/>
      <c r="O9" s="42"/>
      <c r="P9" s="41"/>
      <c r="Q9" s="41"/>
      <c r="R9" s="41"/>
      <c r="S9" s="41"/>
      <c r="T9" s="41"/>
      <c r="U9" s="41"/>
    </row>
    <row r="10" spans="2:21">
      <c r="B10" s="50" t="s">
        <v>109</v>
      </c>
      <c r="C10" s="49">
        <f t="shared" ref="C10:L10" si="0">C7-C8-C9</f>
        <v>-10340.909090909092</v>
      </c>
      <c r="D10" s="42">
        <f t="shared" si="0"/>
        <v>-9630.9090909090919</v>
      </c>
      <c r="E10" s="42">
        <f t="shared" si="0"/>
        <v>-8914.9090909090919</v>
      </c>
      <c r="F10" s="42">
        <f t="shared" si="0"/>
        <v>-8192.8490909090942</v>
      </c>
      <c r="G10" s="42">
        <f t="shared" si="0"/>
        <v>-7464.6684909090982</v>
      </c>
      <c r="H10" s="42">
        <f t="shared" si="0"/>
        <v>-6730.3060849090834</v>
      </c>
      <c r="I10" s="42">
        <f t="shared" si="0"/>
        <v>-5989.7000548490905</v>
      </c>
      <c r="J10" s="42">
        <f t="shared" si="0"/>
        <v>-5242.7879644884961</v>
      </c>
      <c r="K10" s="42">
        <f t="shared" si="0"/>
        <v>-4489.5067532242829</v>
      </c>
      <c r="L10" s="42">
        <f t="shared" si="0"/>
        <v>-3729.7927298474242</v>
      </c>
      <c r="M10" s="44" t="s">
        <v>30</v>
      </c>
      <c r="N10" s="42">
        <f>N7-N8</f>
        <v>295531.2163202957</v>
      </c>
      <c r="O10" s="42">
        <f>L10+N10</f>
        <v>291801.42359044828</v>
      </c>
      <c r="P10" s="41"/>
      <c r="Q10" s="41"/>
      <c r="R10" s="41"/>
      <c r="S10" s="41"/>
      <c r="T10" s="41"/>
      <c r="U10" s="41"/>
    </row>
    <row r="11" spans="2:21">
      <c r="B11" s="50" t="s">
        <v>111</v>
      </c>
      <c r="C11" s="49">
        <f>income_tax_rate*C10</f>
        <v>-3619.318181818182</v>
      </c>
      <c r="D11" s="42">
        <f t="shared" ref="D11:L11" si="1">income_tax_rate*D10</f>
        <v>-3370.818181818182</v>
      </c>
      <c r="E11" s="42">
        <f t="shared" si="1"/>
        <v>-3120.2181818181821</v>
      </c>
      <c r="F11" s="42">
        <f t="shared" si="1"/>
        <v>-2867.497181818183</v>
      </c>
      <c r="G11" s="42">
        <f t="shared" si="1"/>
        <v>-2612.6339718181844</v>
      </c>
      <c r="H11" s="42">
        <f t="shared" si="1"/>
        <v>-2355.6071297181788</v>
      </c>
      <c r="I11" s="42">
        <f t="shared" si="1"/>
        <v>-2096.3950191971817</v>
      </c>
      <c r="J11" s="42">
        <f t="shared" si="1"/>
        <v>-1834.9757875709736</v>
      </c>
      <c r="K11" s="42">
        <f t="shared" si="1"/>
        <v>-1571.3273636284989</v>
      </c>
      <c r="L11" s="42">
        <f t="shared" si="1"/>
        <v>-1305.4274554465983</v>
      </c>
      <c r="M11" s="53" t="s">
        <v>126</v>
      </c>
      <c r="N11" s="80">
        <f>(Calc!C17-Calc!C7-SUM(C30:L30))*cap_gains_tax_rate+SUM(C8:L8)*depr_recapture</f>
        <v>73420.591538953449</v>
      </c>
      <c r="O11" s="42"/>
      <c r="P11" s="41"/>
      <c r="Q11" s="90">
        <f>(Calc!C17-10^6-2*50000)*15%+800000/27.5*10*25%</f>
        <v>73420.591538953449</v>
      </c>
      <c r="R11" s="41"/>
      <c r="S11" s="41"/>
      <c r="T11" s="41"/>
      <c r="U11" s="41"/>
    </row>
    <row r="12" spans="2:21">
      <c r="B12" s="50" t="s">
        <v>110</v>
      </c>
      <c r="C12" s="49">
        <f t="shared" ref="C12:L12" si="2">C10-C11</f>
        <v>-6721.5909090909099</v>
      </c>
      <c r="D12" s="42">
        <f t="shared" si="2"/>
        <v>-6260.0909090909099</v>
      </c>
      <c r="E12" s="42">
        <f t="shared" si="2"/>
        <v>-5794.6909090909103</v>
      </c>
      <c r="F12" s="42">
        <f t="shared" si="2"/>
        <v>-5325.3519090909112</v>
      </c>
      <c r="G12" s="42">
        <f t="shared" si="2"/>
        <v>-4852.0345190909138</v>
      </c>
      <c r="H12" s="42">
        <f t="shared" si="2"/>
        <v>-4374.6989551909046</v>
      </c>
      <c r="I12" s="42">
        <f t="shared" si="2"/>
        <v>-3893.3050356519088</v>
      </c>
      <c r="J12" s="42">
        <f t="shared" si="2"/>
        <v>-3407.8121769175223</v>
      </c>
      <c r="K12" s="42">
        <f t="shared" si="2"/>
        <v>-2918.179389595784</v>
      </c>
      <c r="L12" s="42">
        <f t="shared" si="2"/>
        <v>-2424.3652744008259</v>
      </c>
      <c r="M12" s="53" t="s">
        <v>127</v>
      </c>
      <c r="N12" s="42">
        <f>N10-N11</f>
        <v>222110.62478134225</v>
      </c>
      <c r="O12" s="42">
        <f>L12+N12</f>
        <v>219686.25950694142</v>
      </c>
      <c r="P12" s="41"/>
      <c r="Q12" s="41"/>
      <c r="R12" s="41"/>
      <c r="S12" s="41"/>
      <c r="T12" s="41"/>
      <c r="U12" s="41"/>
    </row>
    <row r="13" spans="2:21"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1"/>
      <c r="Q13" s="41"/>
      <c r="R13" s="41"/>
      <c r="S13" s="41"/>
      <c r="T13" s="41"/>
      <c r="U13" s="41"/>
    </row>
    <row r="14" spans="2:21"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1"/>
      <c r="Q14" s="41"/>
      <c r="R14" s="41"/>
      <c r="S14" s="41"/>
      <c r="T14" s="41"/>
      <c r="U14" s="41"/>
    </row>
    <row r="15" spans="2:21">
      <c r="B15" s="57" t="s">
        <v>124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1"/>
      <c r="Q15" s="41"/>
      <c r="R15" s="41"/>
      <c r="S15" s="41"/>
      <c r="T15" s="41"/>
      <c r="U15" s="41"/>
    </row>
    <row r="16" spans="2:21"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1"/>
      <c r="Q16" s="41"/>
      <c r="R16" s="41"/>
      <c r="S16" s="41"/>
      <c r="T16" s="41"/>
      <c r="U16" s="41"/>
    </row>
    <row r="17" spans="2:21">
      <c r="B17" s="50" t="s">
        <v>118</v>
      </c>
      <c r="C17" s="51">
        <f>'Property Level Pro-Forma'!C15</f>
        <v>0</v>
      </c>
      <c r="D17" s="42">
        <f>'Property Level Pro-Forma'!D15</f>
        <v>0</v>
      </c>
      <c r="E17" s="42">
        <f>'Property Level Pro-Forma'!E15</f>
        <v>50000</v>
      </c>
      <c r="F17" s="42">
        <f>'Property Level Pro-Forma'!F15</f>
        <v>0</v>
      </c>
      <c r="G17" s="42">
        <f>'Property Level Pro-Forma'!G15</f>
        <v>0</v>
      </c>
      <c r="H17" s="42">
        <f>'Property Level Pro-Forma'!H15</f>
        <v>0</v>
      </c>
      <c r="I17" s="42">
        <f>'Property Level Pro-Forma'!I15</f>
        <v>0</v>
      </c>
      <c r="J17" s="42">
        <f>'Property Level Pro-Forma'!J15</f>
        <v>50000</v>
      </c>
      <c r="K17" s="42">
        <f>'Property Level Pro-Forma'!K15</f>
        <v>0</v>
      </c>
      <c r="L17" s="42">
        <f>'Property Level Pro-Forma'!L15</f>
        <v>0</v>
      </c>
      <c r="M17" s="42"/>
      <c r="N17" s="42"/>
      <c r="O17" s="42"/>
      <c r="P17" s="41"/>
      <c r="Q17" s="41"/>
      <c r="R17" s="41"/>
      <c r="S17" s="41"/>
      <c r="T17" s="41"/>
      <c r="U17" s="41"/>
    </row>
    <row r="18" spans="2:21">
      <c r="B18" s="50" t="s">
        <v>117</v>
      </c>
      <c r="C18" s="51">
        <f>C8</f>
        <v>29090.909090909092</v>
      </c>
      <c r="D18" s="42">
        <f t="shared" ref="D18:L18" si="3">D8</f>
        <v>29090.909090909092</v>
      </c>
      <c r="E18" s="42">
        <f t="shared" si="3"/>
        <v>29090.909090909092</v>
      </c>
      <c r="F18" s="42">
        <f t="shared" si="3"/>
        <v>29090.909090909092</v>
      </c>
      <c r="G18" s="42">
        <f t="shared" si="3"/>
        <v>29090.909090909092</v>
      </c>
      <c r="H18" s="42">
        <f t="shared" si="3"/>
        <v>29090.909090909092</v>
      </c>
      <c r="I18" s="42">
        <f t="shared" si="3"/>
        <v>29090.909090909092</v>
      </c>
      <c r="J18" s="42">
        <f t="shared" si="3"/>
        <v>29090.909090909092</v>
      </c>
      <c r="K18" s="42">
        <f t="shared" si="3"/>
        <v>29090.909090909092</v>
      </c>
      <c r="L18" s="42">
        <f t="shared" si="3"/>
        <v>29090.909090909092</v>
      </c>
      <c r="M18" s="44" t="s">
        <v>32</v>
      </c>
      <c r="N18" s="42">
        <f>N8</f>
        <v>809090.90909090906</v>
      </c>
      <c r="O18" s="42"/>
      <c r="P18" s="41"/>
      <c r="Q18" s="41"/>
      <c r="R18" s="41"/>
      <c r="S18" s="41"/>
      <c r="T18" s="41"/>
      <c r="U18" s="41"/>
    </row>
    <row r="19" spans="2:21">
      <c r="B19" s="50" t="s">
        <v>119</v>
      </c>
      <c r="C19" s="51">
        <f t="shared" ref="C19:L19" si="4">amort</f>
        <v>2000</v>
      </c>
      <c r="D19" s="42">
        <f t="shared" si="4"/>
        <v>2000</v>
      </c>
      <c r="E19" s="42">
        <f t="shared" si="4"/>
        <v>2000</v>
      </c>
      <c r="F19" s="42">
        <f t="shared" si="4"/>
        <v>2000</v>
      </c>
      <c r="G19" s="42">
        <f t="shared" si="4"/>
        <v>2000</v>
      </c>
      <c r="H19" s="42">
        <f t="shared" si="4"/>
        <v>2000</v>
      </c>
      <c r="I19" s="42">
        <f t="shared" si="4"/>
        <v>2000</v>
      </c>
      <c r="J19" s="42">
        <f t="shared" si="4"/>
        <v>2000</v>
      </c>
      <c r="K19" s="42">
        <f t="shared" si="4"/>
        <v>2000</v>
      </c>
      <c r="L19" s="42">
        <f t="shared" si="4"/>
        <v>2000</v>
      </c>
      <c r="M19" s="44" t="s">
        <v>36</v>
      </c>
      <c r="N19" s="42">
        <f>loan_amt-SUM(C19:L19)</f>
        <v>730000</v>
      </c>
      <c r="O19" s="42"/>
      <c r="P19" s="41"/>
      <c r="Q19" s="41"/>
      <c r="R19" s="41"/>
      <c r="S19" s="41"/>
      <c r="T19" s="41"/>
      <c r="U19" s="41"/>
    </row>
    <row r="20" spans="2:21">
      <c r="B20" s="50" t="s">
        <v>120</v>
      </c>
      <c r="C20" s="51">
        <f>C12-C17+C18-C19</f>
        <v>20369.318181818184</v>
      </c>
      <c r="D20" s="42">
        <f t="shared" ref="D20:L20" si="5">D12-D17+D18-D19</f>
        <v>20830.818181818184</v>
      </c>
      <c r="E20" s="42">
        <f t="shared" si="5"/>
        <v>-28703.781818181818</v>
      </c>
      <c r="F20" s="42">
        <f t="shared" si="5"/>
        <v>21765.557181818182</v>
      </c>
      <c r="G20" s="42">
        <f t="shared" si="5"/>
        <v>22238.874571818178</v>
      </c>
      <c r="H20" s="42">
        <f t="shared" si="5"/>
        <v>22716.210135718189</v>
      </c>
      <c r="I20" s="42">
        <f t="shared" si="5"/>
        <v>23197.604055257183</v>
      </c>
      <c r="J20" s="42">
        <f t="shared" si="5"/>
        <v>-26316.903086008428</v>
      </c>
      <c r="K20" s="42">
        <f t="shared" si="5"/>
        <v>24172.729701313307</v>
      </c>
      <c r="L20" s="42">
        <f t="shared" si="5"/>
        <v>24666.543816508267</v>
      </c>
      <c r="M20" s="44" t="s">
        <v>37</v>
      </c>
      <c r="N20" s="42">
        <f>N12+N18-N19</f>
        <v>301201.53387225128</v>
      </c>
      <c r="O20" s="42">
        <f>L20+N20</f>
        <v>325868.07768875954</v>
      </c>
      <c r="P20" s="41"/>
      <c r="Q20" s="41"/>
      <c r="R20" s="41"/>
      <c r="S20" s="41"/>
      <c r="T20" s="41"/>
      <c r="U20" s="41"/>
    </row>
    <row r="21" spans="2:21">
      <c r="B21" s="50" t="s">
        <v>114</v>
      </c>
      <c r="C21" s="51">
        <f t="shared" ref="C21:L21" si="6">C11</f>
        <v>-3619.318181818182</v>
      </c>
      <c r="D21" s="42">
        <f t="shared" si="6"/>
        <v>-3370.818181818182</v>
      </c>
      <c r="E21" s="42">
        <f t="shared" si="6"/>
        <v>-3120.2181818181821</v>
      </c>
      <c r="F21" s="42">
        <f t="shared" si="6"/>
        <v>-2867.497181818183</v>
      </c>
      <c r="G21" s="42">
        <f t="shared" si="6"/>
        <v>-2612.6339718181844</v>
      </c>
      <c r="H21" s="42">
        <f t="shared" si="6"/>
        <v>-2355.6071297181788</v>
      </c>
      <c r="I21" s="42">
        <f t="shared" si="6"/>
        <v>-2096.3950191971817</v>
      </c>
      <c r="J21" s="42">
        <f t="shared" si="6"/>
        <v>-1834.9757875709736</v>
      </c>
      <c r="K21" s="42">
        <f t="shared" si="6"/>
        <v>-1571.3273636284989</v>
      </c>
      <c r="L21" s="42">
        <f t="shared" si="6"/>
        <v>-1305.4274554465983</v>
      </c>
      <c r="M21" s="53" t="s">
        <v>128</v>
      </c>
      <c r="N21" s="42">
        <f>N11</f>
        <v>73420.591538953449</v>
      </c>
      <c r="O21" s="42"/>
      <c r="P21" s="41"/>
      <c r="Q21" s="41"/>
      <c r="R21" s="41"/>
      <c r="S21" s="41"/>
      <c r="T21" s="41"/>
      <c r="U21" s="41"/>
    </row>
    <row r="22" spans="2:21">
      <c r="B22" s="50" t="s">
        <v>121</v>
      </c>
      <c r="C22" s="51">
        <f t="shared" ref="C22:L22" si="7">C20+C21</f>
        <v>16750</v>
      </c>
      <c r="D22" s="42">
        <f t="shared" si="7"/>
        <v>17460</v>
      </c>
      <c r="E22" s="42">
        <f t="shared" si="7"/>
        <v>-31824</v>
      </c>
      <c r="F22" s="42">
        <f t="shared" si="7"/>
        <v>18898.059999999998</v>
      </c>
      <c r="G22" s="42">
        <f t="shared" si="7"/>
        <v>19626.240599999994</v>
      </c>
      <c r="H22" s="42">
        <f t="shared" si="7"/>
        <v>20360.603006000012</v>
      </c>
      <c r="I22" s="42">
        <f t="shared" si="7"/>
        <v>21101.209036060001</v>
      </c>
      <c r="J22" s="42">
        <f t="shared" si="7"/>
        <v>-28151.878873579401</v>
      </c>
      <c r="K22" s="42">
        <f t="shared" si="7"/>
        <v>22601.402337684809</v>
      </c>
      <c r="L22" s="42">
        <f t="shared" si="7"/>
        <v>23361.116361061668</v>
      </c>
      <c r="M22" s="44" t="s">
        <v>38</v>
      </c>
      <c r="N22" s="82">
        <f>N20+N21</f>
        <v>374622.12541120476</v>
      </c>
      <c r="O22" s="42">
        <f>L22+N22</f>
        <v>397983.24177226645</v>
      </c>
      <c r="P22" s="41"/>
      <c r="Q22" s="41"/>
      <c r="R22" s="41"/>
      <c r="S22" s="41"/>
      <c r="T22" s="41"/>
      <c r="U22" s="41"/>
    </row>
    <row r="23" spans="2:21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1"/>
      <c r="Q23" s="41"/>
      <c r="R23" s="41"/>
      <c r="S23" s="41"/>
      <c r="T23" s="41"/>
      <c r="U23" s="41"/>
    </row>
    <row r="24" spans="2:2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1"/>
    </row>
    <row r="25" spans="2:21">
      <c r="B25" s="56" t="s">
        <v>123</v>
      </c>
      <c r="C25" s="42"/>
      <c r="D25" s="42"/>
      <c r="E25" s="42"/>
      <c r="F25" s="42"/>
      <c r="G25" s="42"/>
      <c r="H25" s="42"/>
      <c r="I25" s="41"/>
      <c r="J25" s="42"/>
      <c r="K25" s="42"/>
      <c r="L25" s="42"/>
      <c r="M25" s="42"/>
      <c r="N25" s="41"/>
      <c r="O25" s="41"/>
      <c r="P25" s="41"/>
      <c r="Q25" s="41"/>
      <c r="R25" s="41"/>
      <c r="S25" s="41"/>
      <c r="T25" s="41"/>
      <c r="U25" s="41"/>
    </row>
    <row r="26" spans="2:21">
      <c r="B26" s="41"/>
      <c r="C26" s="46" t="s">
        <v>19</v>
      </c>
      <c r="D26" s="42"/>
      <c r="E26" s="42"/>
      <c r="F26" s="42"/>
      <c r="G26" s="42"/>
      <c r="H26" s="42"/>
      <c r="I26" s="42"/>
      <c r="J26" s="42"/>
      <c r="K26" s="42"/>
      <c r="L26" s="44" t="s">
        <v>20</v>
      </c>
      <c r="M26" s="44" t="s">
        <v>21</v>
      </c>
      <c r="N26" s="48" t="s">
        <v>22</v>
      </c>
      <c r="O26" s="48" t="s">
        <v>23</v>
      </c>
      <c r="P26" s="41"/>
      <c r="Q26" s="41"/>
      <c r="R26" s="41"/>
      <c r="S26" s="41"/>
      <c r="T26" s="41"/>
      <c r="U26" s="41"/>
    </row>
    <row r="27" spans="2:21">
      <c r="B27" s="41" t="s">
        <v>24</v>
      </c>
      <c r="C27" s="47">
        <v>1</v>
      </c>
      <c r="D27" s="47">
        <v>2</v>
      </c>
      <c r="E27" s="47">
        <v>3</v>
      </c>
      <c r="F27" s="47">
        <v>4</v>
      </c>
      <c r="G27" s="47">
        <v>5</v>
      </c>
      <c r="H27" s="47">
        <v>6</v>
      </c>
      <c r="I27" s="47">
        <v>7</v>
      </c>
      <c r="J27" s="47">
        <v>8</v>
      </c>
      <c r="K27" s="47">
        <v>9</v>
      </c>
      <c r="L27" s="44" t="s">
        <v>25</v>
      </c>
      <c r="M27" s="44" t="s">
        <v>26</v>
      </c>
      <c r="N27" s="48" t="s">
        <v>25</v>
      </c>
      <c r="O27" s="48" t="s">
        <v>25</v>
      </c>
      <c r="P27" s="41"/>
      <c r="Q27" s="41"/>
      <c r="R27" s="41"/>
      <c r="S27" s="41"/>
      <c r="T27" s="41"/>
      <c r="U27" s="41"/>
    </row>
    <row r="28" spans="2:21">
      <c r="B28" s="41" t="s">
        <v>27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1"/>
      <c r="Q28" s="41"/>
      <c r="R28" s="41"/>
      <c r="S28" s="41"/>
      <c r="T28" s="41"/>
      <c r="U28" s="41"/>
    </row>
    <row r="29" spans="2:21">
      <c r="B29" s="48" t="s">
        <v>112</v>
      </c>
      <c r="C29" s="52">
        <f t="shared" ref="C29:L29" si="8">C7</f>
        <v>60000</v>
      </c>
      <c r="D29" s="42">
        <f t="shared" si="8"/>
        <v>60600</v>
      </c>
      <c r="E29" s="42">
        <f t="shared" si="8"/>
        <v>61206</v>
      </c>
      <c r="F29" s="42">
        <f t="shared" si="8"/>
        <v>61818.06</v>
      </c>
      <c r="G29" s="42">
        <f t="shared" si="8"/>
        <v>62436.240599999997</v>
      </c>
      <c r="H29" s="42">
        <f t="shared" si="8"/>
        <v>63060.603006000005</v>
      </c>
      <c r="I29" s="42">
        <f t="shared" si="8"/>
        <v>63691.209036059998</v>
      </c>
      <c r="J29" s="42">
        <f t="shared" si="8"/>
        <v>64328.121126420599</v>
      </c>
      <c r="K29" s="42">
        <f t="shared" si="8"/>
        <v>64971.402337684813</v>
      </c>
      <c r="L29" s="42">
        <f t="shared" si="8"/>
        <v>65621.116361061664</v>
      </c>
      <c r="M29" s="44" t="s">
        <v>28</v>
      </c>
      <c r="N29" s="42">
        <f>N7</f>
        <v>1104622.1254112048</v>
      </c>
      <c r="O29" s="42"/>
      <c r="P29" s="41"/>
      <c r="Q29" s="41"/>
      <c r="R29" s="41"/>
      <c r="S29" s="41"/>
      <c r="T29" s="41"/>
      <c r="U29" s="41"/>
    </row>
    <row r="30" spans="2:21">
      <c r="B30" s="50" t="s">
        <v>118</v>
      </c>
      <c r="C30" s="52">
        <f t="shared" ref="C30:L30" si="9">C17</f>
        <v>0</v>
      </c>
      <c r="D30" s="42">
        <f t="shared" si="9"/>
        <v>0</v>
      </c>
      <c r="E30" s="42">
        <f t="shared" si="9"/>
        <v>50000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50000</v>
      </c>
      <c r="K30" s="42">
        <f t="shared" si="9"/>
        <v>0</v>
      </c>
      <c r="L30" s="42">
        <f t="shared" si="9"/>
        <v>0</v>
      </c>
      <c r="M30" s="42"/>
      <c r="N30" s="42"/>
      <c r="O30" s="42"/>
      <c r="P30" s="41"/>
      <c r="Q30" s="41"/>
      <c r="R30" s="41"/>
      <c r="S30" s="41"/>
      <c r="T30" s="41"/>
      <c r="U30" s="41"/>
    </row>
    <row r="31" spans="2:21">
      <c r="B31" s="48" t="s">
        <v>34</v>
      </c>
      <c r="C31" s="52">
        <f t="shared" ref="C31:L31" si="10">C29-C30</f>
        <v>60000</v>
      </c>
      <c r="D31" s="42">
        <f t="shared" si="10"/>
        <v>60600</v>
      </c>
      <c r="E31" s="42">
        <f t="shared" si="10"/>
        <v>11206</v>
      </c>
      <c r="F31" s="42">
        <f t="shared" si="10"/>
        <v>61818.06</v>
      </c>
      <c r="G31" s="42">
        <f t="shared" si="10"/>
        <v>62436.240599999997</v>
      </c>
      <c r="H31" s="42">
        <f t="shared" si="10"/>
        <v>63060.603006000005</v>
      </c>
      <c r="I31" s="42">
        <f t="shared" si="10"/>
        <v>63691.209036059998</v>
      </c>
      <c r="J31" s="42">
        <f t="shared" si="10"/>
        <v>14328.121126420599</v>
      </c>
      <c r="K31" s="42">
        <f t="shared" si="10"/>
        <v>64971.402337684813</v>
      </c>
      <c r="L31" s="42">
        <f t="shared" si="10"/>
        <v>65621.116361061664</v>
      </c>
      <c r="M31" s="44" t="s">
        <v>34</v>
      </c>
      <c r="N31" s="42">
        <f>N29</f>
        <v>1104622.1254112048</v>
      </c>
      <c r="O31" s="42">
        <f>L31+N31</f>
        <v>1170243.2417722663</v>
      </c>
      <c r="P31" s="41"/>
      <c r="Q31" s="41"/>
      <c r="R31" s="41"/>
      <c r="S31" s="41"/>
      <c r="T31" s="41"/>
      <c r="U31" s="41"/>
    </row>
    <row r="32" spans="2:21">
      <c r="B32" s="55" t="s">
        <v>122</v>
      </c>
      <c r="C32" s="52">
        <f t="shared" ref="C32:L32" si="11">C9+C19</f>
        <v>43250</v>
      </c>
      <c r="D32" s="42">
        <f t="shared" si="11"/>
        <v>43140</v>
      </c>
      <c r="E32" s="42">
        <f t="shared" si="11"/>
        <v>43030</v>
      </c>
      <c r="F32" s="42">
        <f t="shared" si="11"/>
        <v>42920</v>
      </c>
      <c r="G32" s="42">
        <f t="shared" si="11"/>
        <v>42810</v>
      </c>
      <c r="H32" s="42">
        <f t="shared" si="11"/>
        <v>42700</v>
      </c>
      <c r="I32" s="42">
        <f t="shared" si="11"/>
        <v>42590</v>
      </c>
      <c r="J32" s="42">
        <f t="shared" si="11"/>
        <v>42480</v>
      </c>
      <c r="K32" s="42">
        <f t="shared" si="11"/>
        <v>42370</v>
      </c>
      <c r="L32" s="42">
        <f t="shared" si="11"/>
        <v>42260</v>
      </c>
      <c r="M32" s="53" t="s">
        <v>130</v>
      </c>
      <c r="N32" s="42">
        <f>Calc!J17</f>
        <v>730000</v>
      </c>
      <c r="O32" s="42"/>
      <c r="P32" s="41"/>
      <c r="Q32" s="41"/>
      <c r="R32" s="41"/>
      <c r="S32" s="41"/>
      <c r="T32" s="41"/>
      <c r="U32" s="41"/>
    </row>
    <row r="33" spans="2:21">
      <c r="B33" s="48" t="s">
        <v>38</v>
      </c>
      <c r="C33" s="52">
        <f t="shared" ref="C33:L33" si="12">C31-C32</f>
        <v>16750</v>
      </c>
      <c r="D33" s="42">
        <f t="shared" si="12"/>
        <v>17460</v>
      </c>
      <c r="E33" s="42">
        <f t="shared" si="12"/>
        <v>-31824</v>
      </c>
      <c r="F33" s="42">
        <f t="shared" si="12"/>
        <v>18898.059999999998</v>
      </c>
      <c r="G33" s="42">
        <f t="shared" si="12"/>
        <v>19626.240599999997</v>
      </c>
      <c r="H33" s="42">
        <f t="shared" si="12"/>
        <v>20360.603006000005</v>
      </c>
      <c r="I33" s="42">
        <f t="shared" si="12"/>
        <v>21101.209036059998</v>
      </c>
      <c r="J33" s="42">
        <f t="shared" si="12"/>
        <v>-28151.878873579401</v>
      </c>
      <c r="K33" s="42">
        <f t="shared" si="12"/>
        <v>22601.402337684813</v>
      </c>
      <c r="L33" s="42">
        <f t="shared" si="12"/>
        <v>23361.116361061664</v>
      </c>
      <c r="M33" s="44" t="s">
        <v>38</v>
      </c>
      <c r="N33" s="80">
        <f>N31-N32</f>
        <v>374622.12541120476</v>
      </c>
      <c r="O33" s="42">
        <f>L33+N33</f>
        <v>397983.24177226645</v>
      </c>
      <c r="P33" s="41"/>
      <c r="Q33" s="41"/>
      <c r="R33" s="41"/>
      <c r="S33" s="41"/>
      <c r="T33" s="41"/>
      <c r="U33" s="41"/>
    </row>
    <row r="34" spans="2:21">
      <c r="B34" s="53" t="s">
        <v>68</v>
      </c>
      <c r="C34" s="52">
        <f t="shared" ref="C34:L34" si="13">income_tax_rate*C29</f>
        <v>21000</v>
      </c>
      <c r="D34" s="42">
        <f t="shared" si="13"/>
        <v>21210</v>
      </c>
      <c r="E34" s="42">
        <f t="shared" si="13"/>
        <v>21422.1</v>
      </c>
      <c r="F34" s="42">
        <f t="shared" si="13"/>
        <v>21636.320999999996</v>
      </c>
      <c r="G34" s="42">
        <f t="shared" si="13"/>
        <v>21852.684209999999</v>
      </c>
      <c r="H34" s="42">
        <f t="shared" si="13"/>
        <v>22071.2110521</v>
      </c>
      <c r="I34" s="42">
        <f t="shared" si="13"/>
        <v>22291.923162620998</v>
      </c>
      <c r="J34" s="42">
        <f t="shared" si="13"/>
        <v>22514.842394247207</v>
      </c>
      <c r="K34" s="42">
        <f t="shared" si="13"/>
        <v>22739.990818189683</v>
      </c>
      <c r="L34" s="42">
        <f t="shared" si="13"/>
        <v>22967.390726371581</v>
      </c>
      <c r="M34" s="44" t="s">
        <v>39</v>
      </c>
      <c r="N34" s="42">
        <f>cap_gains_tax_rate*(N29-(Calc!C7+SUM(C30:L30)))</f>
        <v>693.31881168071413</v>
      </c>
      <c r="O34" s="42">
        <f>L34+N34</f>
        <v>23660.709538052295</v>
      </c>
      <c r="P34" s="42"/>
      <c r="Q34" s="42"/>
      <c r="R34" s="42"/>
      <c r="S34" s="42"/>
      <c r="T34" s="42"/>
      <c r="U34" s="42"/>
    </row>
    <row r="35" spans="2:21">
      <c r="B35" s="50" t="s">
        <v>75</v>
      </c>
      <c r="C35" s="52">
        <f t="shared" ref="C35:L35" si="14">income_tax_rate*C8</f>
        <v>10181.818181818182</v>
      </c>
      <c r="D35" s="42">
        <f t="shared" si="14"/>
        <v>10181.818181818182</v>
      </c>
      <c r="E35" s="42">
        <f t="shared" si="14"/>
        <v>10181.818181818182</v>
      </c>
      <c r="F35" s="42">
        <f t="shared" si="14"/>
        <v>10181.818181818182</v>
      </c>
      <c r="G35" s="42">
        <f t="shared" si="14"/>
        <v>10181.818181818182</v>
      </c>
      <c r="H35" s="42">
        <f t="shared" si="14"/>
        <v>10181.818181818182</v>
      </c>
      <c r="I35" s="42">
        <f t="shared" si="14"/>
        <v>10181.818181818182</v>
      </c>
      <c r="J35" s="42">
        <f t="shared" si="14"/>
        <v>10181.818181818182</v>
      </c>
      <c r="K35" s="42">
        <f t="shared" si="14"/>
        <v>10181.818181818182</v>
      </c>
      <c r="L35" s="42">
        <f t="shared" si="14"/>
        <v>10181.818181818182</v>
      </c>
      <c r="M35" s="58" t="s">
        <v>129</v>
      </c>
      <c r="N35" s="42">
        <f>-depr_recapture*SUM(C8:L8)</f>
        <v>-72727.272727272735</v>
      </c>
      <c r="O35" s="42">
        <f>L35+N35</f>
        <v>-62545.454545454551</v>
      </c>
      <c r="P35" s="41"/>
      <c r="Q35" s="41"/>
      <c r="R35" s="41"/>
      <c r="S35" s="41"/>
      <c r="T35" s="41"/>
      <c r="U35" s="41"/>
    </row>
    <row r="36" spans="2:21">
      <c r="B36" s="50" t="s">
        <v>76</v>
      </c>
      <c r="C36" s="52">
        <f t="shared" ref="C36:L36" si="15">income_tax_rate*C9</f>
        <v>14437.499999999998</v>
      </c>
      <c r="D36" s="42">
        <f t="shared" si="15"/>
        <v>14398.999999999998</v>
      </c>
      <c r="E36" s="42">
        <f t="shared" si="15"/>
        <v>14360.499999999998</v>
      </c>
      <c r="F36" s="42">
        <f t="shared" si="15"/>
        <v>14322</v>
      </c>
      <c r="G36" s="42">
        <f t="shared" si="15"/>
        <v>14283.5</v>
      </c>
      <c r="H36" s="42">
        <f t="shared" si="15"/>
        <v>14245</v>
      </c>
      <c r="I36" s="42">
        <f t="shared" si="15"/>
        <v>14206.5</v>
      </c>
      <c r="J36" s="42">
        <f t="shared" si="15"/>
        <v>14168</v>
      </c>
      <c r="K36" s="42">
        <f t="shared" si="15"/>
        <v>14129.5</v>
      </c>
      <c r="L36" s="42">
        <f t="shared" si="15"/>
        <v>14091</v>
      </c>
      <c r="M36" s="42"/>
      <c r="N36" s="42"/>
      <c r="O36" s="42">
        <f>L36+N36</f>
        <v>14091</v>
      </c>
      <c r="P36" s="41"/>
      <c r="Q36" s="41"/>
      <c r="R36" s="41"/>
      <c r="S36" s="41"/>
      <c r="T36" s="41"/>
      <c r="U36" s="41"/>
    </row>
    <row r="37" spans="2:21">
      <c r="B37" s="48" t="s">
        <v>37</v>
      </c>
      <c r="C37" s="52">
        <f t="shared" ref="C37:L37" si="16">C33-C34+C35+C36</f>
        <v>20369.31818181818</v>
      </c>
      <c r="D37" s="42">
        <f t="shared" si="16"/>
        <v>20830.81818181818</v>
      </c>
      <c r="E37" s="42">
        <f t="shared" si="16"/>
        <v>-28703.781818181815</v>
      </c>
      <c r="F37" s="42">
        <f t="shared" si="16"/>
        <v>21765.557181818185</v>
      </c>
      <c r="G37" s="42">
        <f t="shared" si="16"/>
        <v>22238.874571818182</v>
      </c>
      <c r="H37" s="42">
        <f t="shared" si="16"/>
        <v>22716.210135718189</v>
      </c>
      <c r="I37" s="42">
        <f t="shared" si="16"/>
        <v>23197.604055257179</v>
      </c>
      <c r="J37" s="42">
        <f t="shared" si="16"/>
        <v>-26316.903086008424</v>
      </c>
      <c r="K37" s="42">
        <f t="shared" si="16"/>
        <v>24172.729701313314</v>
      </c>
      <c r="L37" s="42">
        <f t="shared" si="16"/>
        <v>24666.543816508267</v>
      </c>
      <c r="M37" s="48" t="s">
        <v>18</v>
      </c>
      <c r="N37" s="80">
        <f>N33-N34+N35</f>
        <v>301201.53387225128</v>
      </c>
      <c r="O37" s="42">
        <f>L37+N37</f>
        <v>325868.07768875954</v>
      </c>
      <c r="P37" s="41"/>
      <c r="Q37" s="41"/>
      <c r="R37" s="41"/>
      <c r="S37" s="41"/>
      <c r="T37" s="41"/>
      <c r="U37" s="41"/>
    </row>
    <row r="38" spans="2:21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1"/>
      <c r="O38" s="41"/>
      <c r="P38" s="41"/>
      <c r="Q38" s="41"/>
      <c r="R38" s="41"/>
      <c r="S38" s="41"/>
      <c r="T38" s="41"/>
      <c r="U38" s="41"/>
    </row>
    <row r="39" spans="2:21"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89">
        <f>N33-N11</f>
        <v>301201.53387225128</v>
      </c>
      <c r="O39" s="41"/>
      <c r="P39" s="41"/>
      <c r="Q39" s="41"/>
      <c r="R39" s="41"/>
      <c r="S39" s="41"/>
      <c r="T39" s="41"/>
      <c r="U39" s="41"/>
    </row>
    <row r="40" spans="2:21">
      <c r="B40" s="41"/>
      <c r="C40" s="41" t="s">
        <v>77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1"/>
      <c r="O40" s="41"/>
      <c r="P40" s="41"/>
      <c r="Q40" s="41"/>
      <c r="R40" s="41"/>
      <c r="S40" s="41"/>
      <c r="T40" s="41"/>
      <c r="U40" s="41"/>
    </row>
    <row r="41" spans="2:21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1"/>
      <c r="O41" s="41"/>
      <c r="P41" s="41"/>
      <c r="Q41" s="41"/>
      <c r="R41" s="41"/>
      <c r="S41" s="41"/>
      <c r="T41" s="41"/>
      <c r="U41" s="41"/>
    </row>
    <row r="42" spans="2:21">
      <c r="B42" s="41"/>
      <c r="C42" s="42" t="s">
        <v>79</v>
      </c>
      <c r="D42" s="54" t="s">
        <v>80</v>
      </c>
      <c r="E42" s="42"/>
      <c r="F42" s="42"/>
      <c r="G42" s="42"/>
      <c r="H42" s="42"/>
      <c r="I42" s="42"/>
      <c r="J42" s="42"/>
      <c r="K42" s="42"/>
      <c r="L42" s="42"/>
      <c r="M42" s="42"/>
      <c r="N42" s="41"/>
      <c r="O42" s="41"/>
      <c r="P42" s="41"/>
      <c r="Q42" s="41"/>
      <c r="R42" s="41"/>
      <c r="S42" s="41"/>
      <c r="T42" s="41"/>
      <c r="U42" s="41"/>
    </row>
    <row r="43" spans="2:21">
      <c r="B43" s="41"/>
      <c r="C43" s="42"/>
      <c r="D43" s="54" t="s">
        <v>81</v>
      </c>
      <c r="E43" s="42"/>
      <c r="F43" s="42"/>
      <c r="G43" s="42"/>
      <c r="H43" s="42"/>
      <c r="I43" s="42"/>
      <c r="J43" s="42"/>
      <c r="K43" s="42"/>
      <c r="L43" s="42"/>
      <c r="M43" s="42"/>
      <c r="N43" s="41"/>
      <c r="O43" s="41"/>
      <c r="P43" s="41"/>
      <c r="Q43" s="41"/>
      <c r="R43" s="41"/>
      <c r="S43" s="41"/>
      <c r="T43" s="41"/>
      <c r="U43" s="41"/>
    </row>
    <row r="44" spans="2:21">
      <c r="B44" s="41"/>
      <c r="C44" s="42"/>
      <c r="D44" s="54" t="s">
        <v>82</v>
      </c>
      <c r="E44" s="42"/>
      <c r="F44" s="42"/>
      <c r="G44" s="42"/>
      <c r="H44" s="42"/>
      <c r="I44" s="42"/>
      <c r="J44" s="42"/>
      <c r="K44" s="42"/>
      <c r="L44" s="42"/>
      <c r="M44" s="42"/>
      <c r="N44" s="41"/>
      <c r="O44" s="41"/>
      <c r="P44" s="41"/>
      <c r="Q44" s="41"/>
      <c r="R44" s="41"/>
      <c r="S44" s="41"/>
      <c r="T44" s="41"/>
      <c r="U44" s="41"/>
    </row>
    <row r="45" spans="2:21">
      <c r="B45" s="41"/>
      <c r="C45" s="42"/>
      <c r="D45" s="54" t="s">
        <v>83</v>
      </c>
      <c r="E45" s="42"/>
      <c r="F45" s="42"/>
      <c r="G45" s="42"/>
      <c r="H45" s="42"/>
      <c r="I45" s="42"/>
      <c r="J45" s="42"/>
      <c r="K45" s="42"/>
      <c r="L45" s="42"/>
      <c r="M45" s="42"/>
      <c r="N45" s="41"/>
      <c r="O45" s="41"/>
      <c r="P45" s="41"/>
      <c r="Q45" s="41"/>
      <c r="R45" s="41"/>
      <c r="S45" s="41"/>
      <c r="T45" s="41"/>
      <c r="U45" s="41"/>
    </row>
    <row r="46" spans="2:21"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1"/>
      <c r="O46" s="41"/>
      <c r="P46" s="41"/>
      <c r="Q46" s="41"/>
      <c r="R46" s="41"/>
      <c r="S46" s="41"/>
      <c r="T46" s="41"/>
      <c r="U46" s="41"/>
    </row>
    <row r="47" spans="2:21">
      <c r="B47" s="41"/>
      <c r="C47" s="42">
        <f>C34-C35-C36</f>
        <v>-3619.3181818181802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1"/>
      <c r="O47" s="41"/>
      <c r="P47" s="41"/>
      <c r="Q47" s="41"/>
      <c r="R47" s="41"/>
      <c r="S47" s="41"/>
      <c r="T47" s="41"/>
      <c r="U47" s="41"/>
    </row>
    <row r="48" spans="2:21"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1"/>
      <c r="O48" s="41"/>
      <c r="P48" s="41"/>
      <c r="Q48" s="41"/>
      <c r="R48" s="41"/>
      <c r="S48" s="41"/>
      <c r="T48" s="41"/>
      <c r="U48" s="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D29"/>
  <sheetViews>
    <sheetView workbookViewId="0"/>
  </sheetViews>
  <sheetFormatPr baseColWidth="10" defaultRowHeight="16"/>
  <cols>
    <col min="2" max="2" width="15" bestFit="1" customWidth="1"/>
    <col min="3" max="3" width="17.42578125" bestFit="1" customWidth="1"/>
    <col min="4" max="4" width="13.85546875" bestFit="1" customWidth="1"/>
  </cols>
  <sheetData>
    <row r="4" spans="2:4">
      <c r="C4" t="s">
        <v>86</v>
      </c>
      <c r="D4" t="s">
        <v>87</v>
      </c>
    </row>
    <row r="5" spans="2:4">
      <c r="B5" t="s">
        <v>91</v>
      </c>
      <c r="C5" s="3">
        <f>-Calc!F7</f>
        <v>1000000</v>
      </c>
      <c r="D5" s="3">
        <f>-Calc!M7</f>
        <v>250000</v>
      </c>
    </row>
    <row r="6" spans="2:4">
      <c r="B6" t="s">
        <v>88</v>
      </c>
      <c r="C6" s="40">
        <f>Calc!F19</f>
        <v>6.0428831757567192E-2</v>
      </c>
      <c r="D6" s="91">
        <f>Calc!M19</f>
        <v>7.3970856701935039E-2</v>
      </c>
    </row>
    <row r="7" spans="2:4">
      <c r="B7" t="s">
        <v>89</v>
      </c>
      <c r="C7" s="92">
        <f>Calc!I19</f>
        <v>4.3418562880632061E-2</v>
      </c>
      <c r="D7" s="40">
        <f>Calc!N19</f>
        <v>6.4376056243434121E-2</v>
      </c>
    </row>
    <row r="8" spans="2:4">
      <c r="B8" t="s">
        <v>90</v>
      </c>
      <c r="C8" s="39">
        <f>1-C7/C6</f>
        <v>0.28149259851949759</v>
      </c>
      <c r="D8" s="39">
        <f>1-D7/D6</f>
        <v>0.12971054934733406</v>
      </c>
    </row>
    <row r="10" spans="2:4">
      <c r="B10" s="35" t="s">
        <v>60</v>
      </c>
    </row>
    <row r="11" spans="2:4">
      <c r="B11" s="36" t="s">
        <v>133</v>
      </c>
    </row>
    <row r="12" spans="2:4">
      <c r="B12" s="2" t="s">
        <v>92</v>
      </c>
    </row>
    <row r="13" spans="2:4">
      <c r="B13" s="2" t="s">
        <v>95</v>
      </c>
    </row>
    <row r="14" spans="2:4">
      <c r="B14" s="2" t="s">
        <v>93</v>
      </c>
    </row>
    <row r="15" spans="2:4">
      <c r="B15" s="2" t="s">
        <v>94</v>
      </c>
    </row>
    <row r="16" spans="2:4">
      <c r="B16" s="2" t="s">
        <v>96</v>
      </c>
    </row>
    <row r="18" spans="2:3">
      <c r="B18" s="36" t="s">
        <v>99</v>
      </c>
    </row>
    <row r="19" spans="2:3">
      <c r="B19" s="2" t="s">
        <v>97</v>
      </c>
    </row>
    <row r="20" spans="2:3">
      <c r="B20" s="2" t="s">
        <v>98</v>
      </c>
    </row>
    <row r="21" spans="2:3">
      <c r="B21" s="2" t="s">
        <v>107</v>
      </c>
    </row>
    <row r="22" spans="2:3">
      <c r="B22" s="2" t="s">
        <v>100</v>
      </c>
    </row>
    <row r="24" spans="2:3">
      <c r="B24" s="36" t="s">
        <v>101</v>
      </c>
    </row>
    <row r="25" spans="2:3">
      <c r="B25" t="s">
        <v>102</v>
      </c>
    </row>
    <row r="26" spans="2:3">
      <c r="B26" t="s">
        <v>103</v>
      </c>
    </row>
    <row r="27" spans="2:3">
      <c r="B27" t="s">
        <v>104</v>
      </c>
    </row>
    <row r="28" spans="2:3">
      <c r="B28">
        <v>1</v>
      </c>
      <c r="C28" t="s">
        <v>105</v>
      </c>
    </row>
    <row r="29" spans="2:3">
      <c r="B29">
        <v>2</v>
      </c>
      <c r="C29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005D-1618-D948-AD66-DDB249FFA474}">
  <dimension ref="B2:U46"/>
  <sheetViews>
    <sheetView workbookViewId="0"/>
  </sheetViews>
  <sheetFormatPr baseColWidth="10" defaultRowHeight="16"/>
  <cols>
    <col min="1" max="1" width="10.7109375" style="6"/>
    <col min="2" max="2" width="12" style="6" customWidth="1"/>
    <col min="3" max="3" width="12.85546875" style="6" bestFit="1" customWidth="1"/>
    <col min="4" max="4" width="12" style="6" bestFit="1" customWidth="1"/>
    <col min="5" max="16" width="10.7109375" style="6"/>
    <col min="17" max="17" width="13.28515625" style="6" customWidth="1"/>
    <col min="18" max="19" width="12" style="6" bestFit="1" customWidth="1"/>
    <col min="20" max="16384" width="10.7109375" style="6"/>
  </cols>
  <sheetData>
    <row r="2" spans="2:19" ht="37" customHeight="1">
      <c r="B2" s="62" t="s">
        <v>143</v>
      </c>
      <c r="C2" s="5"/>
      <c r="D2" s="5"/>
      <c r="E2" s="5"/>
      <c r="F2" s="5"/>
      <c r="G2" s="5"/>
      <c r="H2" s="24"/>
      <c r="I2" s="5"/>
      <c r="J2" s="5"/>
      <c r="K2" s="5"/>
      <c r="L2" s="5"/>
      <c r="M2" s="5"/>
      <c r="Q2" s="97" t="s">
        <v>189</v>
      </c>
      <c r="R2" s="97" t="s">
        <v>190</v>
      </c>
    </row>
    <row r="3" spans="2:19"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97"/>
      <c r="R3" s="97"/>
    </row>
    <row r="4" spans="2:19">
      <c r="B4" s="95" t="s">
        <v>17</v>
      </c>
      <c r="C4" s="96" t="s">
        <v>40</v>
      </c>
      <c r="D4" s="94" t="s">
        <v>108</v>
      </c>
      <c r="E4" s="94" t="s">
        <v>140</v>
      </c>
      <c r="F4" s="94" t="s">
        <v>141</v>
      </c>
      <c r="G4" s="94" t="s">
        <v>135</v>
      </c>
      <c r="H4" s="94" t="s">
        <v>41</v>
      </c>
      <c r="I4" s="94" t="s">
        <v>142</v>
      </c>
      <c r="J4" s="94" t="s">
        <v>43</v>
      </c>
      <c r="K4" s="94" t="s">
        <v>144</v>
      </c>
      <c r="L4" s="94" t="s">
        <v>42</v>
      </c>
      <c r="M4" s="94" t="s">
        <v>145</v>
      </c>
      <c r="N4" s="94" t="s">
        <v>146</v>
      </c>
      <c r="O4" s="94" t="s">
        <v>137</v>
      </c>
      <c r="R4" s="69"/>
    </row>
    <row r="5" spans="2:19">
      <c r="B5" s="95"/>
      <c r="C5" s="96"/>
      <c r="D5" s="94"/>
      <c r="E5" s="94" t="s">
        <v>136</v>
      </c>
      <c r="F5" s="94"/>
      <c r="G5" s="94"/>
      <c r="H5" s="94"/>
      <c r="I5" s="94"/>
      <c r="J5" s="94"/>
      <c r="K5" s="94"/>
      <c r="L5" s="94"/>
      <c r="M5" s="94"/>
      <c r="N5" s="94"/>
      <c r="O5" s="94"/>
      <c r="Q5" s="6" t="s">
        <v>157</v>
      </c>
      <c r="R5" s="6" t="s">
        <v>158</v>
      </c>
      <c r="S5" s="6" t="s">
        <v>159</v>
      </c>
    </row>
    <row r="6" spans="2:19">
      <c r="B6" s="19">
        <v>0</v>
      </c>
      <c r="C6" s="5">
        <v>1000000</v>
      </c>
      <c r="D6" s="5"/>
      <c r="E6" s="5"/>
      <c r="F6" s="5">
        <f>-C6</f>
        <v>-1000000</v>
      </c>
      <c r="G6" s="5"/>
      <c r="H6" s="5"/>
      <c r="I6" s="68">
        <f>-D41</f>
        <v>-967119.29744056019</v>
      </c>
      <c r="J6" s="5">
        <f>loan_amt</f>
        <v>750000</v>
      </c>
      <c r="K6" s="5">
        <f>-loan_amt</f>
        <v>-750000</v>
      </c>
      <c r="L6" s="5"/>
      <c r="M6" s="5">
        <f t="shared" ref="M6:M16" si="0">F6-K6</f>
        <v>-250000</v>
      </c>
      <c r="N6" s="68">
        <f>loan_amt-C6</f>
        <v>-250000</v>
      </c>
      <c r="O6" s="67">
        <f>-NPV(O18,O7:O16)</f>
        <v>-717119.29744056019</v>
      </c>
      <c r="P6" s="20"/>
      <c r="Q6" s="20">
        <f>-NPV(O18,Q7:Q16)</f>
        <v>683592.43205912784</v>
      </c>
      <c r="R6" s="20">
        <f>N6-Q6</f>
        <v>-933592.43205912784</v>
      </c>
      <c r="S6" s="20">
        <f>Q6+R6</f>
        <v>-250000</v>
      </c>
    </row>
    <row r="7" spans="2:19">
      <c r="B7" s="19">
        <f t="shared" ref="B7:B16" si="1">1+B6</f>
        <v>1</v>
      </c>
      <c r="C7" s="5">
        <f t="shared" ref="C7:C16" si="2">(1+appreciation_rate)*C6</f>
        <v>1010000</v>
      </c>
      <c r="D7" s="5">
        <f t="shared" ref="D7:D16" si="3">yield_rate*C6</f>
        <v>60000</v>
      </c>
      <c r="E7" s="5">
        <v>0</v>
      </c>
      <c r="F7" s="5">
        <f t="shared" ref="F7:F15" si="4">D7-E7</f>
        <v>60000</v>
      </c>
      <c r="G7" s="5">
        <f t="shared" ref="G7:G15" si="5">income_tax_rate*D7</f>
        <v>21000</v>
      </c>
      <c r="H7" s="5">
        <f t="shared" ref="H7:H15" si="6">C$6*income_tax_rate*build_value/depr_years</f>
        <v>10181.818181818182</v>
      </c>
      <c r="I7" s="5">
        <f>F7-G7+H7</f>
        <v>49181.818181818184</v>
      </c>
      <c r="J7" s="5">
        <f t="shared" ref="J7:J16" si="7">J6-amort</f>
        <v>748000</v>
      </c>
      <c r="K7" s="5">
        <f t="shared" ref="K7:K15" si="8">int_rate*J6+amort</f>
        <v>43250</v>
      </c>
      <c r="L7" s="5">
        <f t="shared" ref="L7:L16" si="9">income_tax_rate*J6*int_rate</f>
        <v>14437.5</v>
      </c>
      <c r="M7" s="5">
        <f t="shared" si="0"/>
        <v>16750</v>
      </c>
      <c r="N7" s="5">
        <f t="shared" ref="N7:N16" si="10">I7-K7+L7</f>
        <v>20369.318181818184</v>
      </c>
      <c r="O7" s="20">
        <f t="shared" ref="O7:O16" si="11">K7-L7</f>
        <v>28812.5</v>
      </c>
      <c r="P7" s="20"/>
      <c r="Q7" s="20">
        <f>H7-(K7-L7)</f>
        <v>-18630.681818181816</v>
      </c>
      <c r="R7" s="20">
        <f>N7-Q7</f>
        <v>39000</v>
      </c>
      <c r="S7" s="20">
        <f t="shared" ref="S7:S16" si="12">Q7+R7</f>
        <v>20369.318181818184</v>
      </c>
    </row>
    <row r="8" spans="2:19">
      <c r="B8" s="19">
        <f t="shared" si="1"/>
        <v>2</v>
      </c>
      <c r="C8" s="5">
        <f t="shared" si="2"/>
        <v>1020100</v>
      </c>
      <c r="D8" s="5">
        <f t="shared" si="3"/>
        <v>60600</v>
      </c>
      <c r="E8" s="5">
        <v>0</v>
      </c>
      <c r="F8" s="5">
        <f t="shared" si="4"/>
        <v>60600</v>
      </c>
      <c r="G8" s="5">
        <f t="shared" si="5"/>
        <v>21210</v>
      </c>
      <c r="H8" s="5">
        <f t="shared" si="6"/>
        <v>10181.818181818182</v>
      </c>
      <c r="I8" s="5">
        <f>F8-G8+H8</f>
        <v>49571.818181818184</v>
      </c>
      <c r="J8" s="5">
        <f t="shared" si="7"/>
        <v>746000</v>
      </c>
      <c r="K8" s="5">
        <f t="shared" si="8"/>
        <v>43140</v>
      </c>
      <c r="L8" s="5">
        <f t="shared" si="9"/>
        <v>14398.999999999998</v>
      </c>
      <c r="M8" s="5">
        <f t="shared" si="0"/>
        <v>17460</v>
      </c>
      <c r="N8" s="5">
        <f t="shared" si="10"/>
        <v>20830.818181818184</v>
      </c>
      <c r="O8" s="20">
        <f t="shared" si="11"/>
        <v>28741</v>
      </c>
      <c r="P8" s="20"/>
      <c r="Q8" s="20">
        <f t="shared" ref="Q8:Q16" si="13">H8-(K8-L8)</f>
        <v>-18559.181818181816</v>
      </c>
      <c r="R8" s="20">
        <f t="shared" ref="R8:R16" si="14">N8-Q8</f>
        <v>39390</v>
      </c>
      <c r="S8" s="20">
        <f t="shared" si="12"/>
        <v>20830.818181818184</v>
      </c>
    </row>
    <row r="9" spans="2:19">
      <c r="B9" s="19">
        <f t="shared" si="1"/>
        <v>3</v>
      </c>
      <c r="C9" s="5">
        <f t="shared" si="2"/>
        <v>1030301</v>
      </c>
      <c r="D9" s="5">
        <f t="shared" si="3"/>
        <v>61206</v>
      </c>
      <c r="E9" s="5">
        <v>50000</v>
      </c>
      <c r="F9" s="5">
        <f t="shared" si="4"/>
        <v>11206</v>
      </c>
      <c r="G9" s="5">
        <f t="shared" si="5"/>
        <v>21422.1</v>
      </c>
      <c r="H9" s="5">
        <f t="shared" si="6"/>
        <v>10181.818181818182</v>
      </c>
      <c r="I9" s="5">
        <f t="shared" ref="I9:I16" si="15">F9-G9+H9</f>
        <v>-34.281818181816561</v>
      </c>
      <c r="J9" s="5">
        <f t="shared" si="7"/>
        <v>744000</v>
      </c>
      <c r="K9" s="5">
        <f t="shared" si="8"/>
        <v>43030</v>
      </c>
      <c r="L9" s="5">
        <f t="shared" si="9"/>
        <v>14360.499999999998</v>
      </c>
      <c r="M9" s="5">
        <f t="shared" si="0"/>
        <v>-31824</v>
      </c>
      <c r="N9" s="5">
        <f t="shared" si="10"/>
        <v>-28703.781818181815</v>
      </c>
      <c r="O9" s="20">
        <f t="shared" si="11"/>
        <v>28669.5</v>
      </c>
      <c r="P9" s="20"/>
      <c r="Q9" s="20">
        <f t="shared" si="13"/>
        <v>-18487.681818181816</v>
      </c>
      <c r="R9" s="20">
        <f t="shared" si="14"/>
        <v>-10216.099999999999</v>
      </c>
      <c r="S9" s="20">
        <f t="shared" si="12"/>
        <v>-28703.781818181815</v>
      </c>
    </row>
    <row r="10" spans="2:19">
      <c r="B10" s="19">
        <f t="shared" si="1"/>
        <v>4</v>
      </c>
      <c r="C10" s="5">
        <f t="shared" si="2"/>
        <v>1040604.01</v>
      </c>
      <c r="D10" s="5">
        <f t="shared" si="3"/>
        <v>61818.06</v>
      </c>
      <c r="E10" s="5">
        <v>0</v>
      </c>
      <c r="F10" s="5">
        <f t="shared" si="4"/>
        <v>61818.06</v>
      </c>
      <c r="G10" s="5">
        <f t="shared" si="5"/>
        <v>21636.320999999996</v>
      </c>
      <c r="H10" s="5">
        <f t="shared" si="6"/>
        <v>10181.818181818182</v>
      </c>
      <c r="I10" s="5">
        <f t="shared" si="15"/>
        <v>50363.557181818185</v>
      </c>
      <c r="J10" s="5">
        <f t="shared" si="7"/>
        <v>742000</v>
      </c>
      <c r="K10" s="5">
        <f t="shared" si="8"/>
        <v>42920</v>
      </c>
      <c r="L10" s="5">
        <f t="shared" si="9"/>
        <v>14321.999999999998</v>
      </c>
      <c r="M10" s="5">
        <f t="shared" si="0"/>
        <v>18898.059999999998</v>
      </c>
      <c r="N10" s="5">
        <f t="shared" si="10"/>
        <v>21765.557181818185</v>
      </c>
      <c r="O10" s="20">
        <f t="shared" si="11"/>
        <v>28598</v>
      </c>
      <c r="P10" s="20"/>
      <c r="Q10" s="20">
        <f>H10-(K10-L10)</f>
        <v>-18416.181818181816</v>
      </c>
      <c r="R10" s="20">
        <f t="shared" si="14"/>
        <v>40181.739000000001</v>
      </c>
      <c r="S10" s="20">
        <f t="shared" si="12"/>
        <v>21765.557181818185</v>
      </c>
    </row>
    <row r="11" spans="2:19">
      <c r="B11" s="19">
        <f t="shared" si="1"/>
        <v>5</v>
      </c>
      <c r="C11" s="5">
        <f t="shared" si="2"/>
        <v>1051010.0501000001</v>
      </c>
      <c r="D11" s="5">
        <f t="shared" si="3"/>
        <v>62436.240599999997</v>
      </c>
      <c r="E11" s="5">
        <v>0</v>
      </c>
      <c r="F11" s="5">
        <f t="shared" si="4"/>
        <v>62436.240599999997</v>
      </c>
      <c r="G11" s="5">
        <f t="shared" si="5"/>
        <v>21852.684209999999</v>
      </c>
      <c r="H11" s="5">
        <f t="shared" si="6"/>
        <v>10181.818181818182</v>
      </c>
      <c r="I11" s="5">
        <f t="shared" si="15"/>
        <v>50765.374571818182</v>
      </c>
      <c r="J11" s="5">
        <f t="shared" si="7"/>
        <v>740000</v>
      </c>
      <c r="K11" s="5">
        <f t="shared" si="8"/>
        <v>42810</v>
      </c>
      <c r="L11" s="5">
        <f t="shared" si="9"/>
        <v>14283.499999999998</v>
      </c>
      <c r="M11" s="5">
        <f>F11-K11</f>
        <v>19626.240599999997</v>
      </c>
      <c r="N11" s="5">
        <f t="shared" si="10"/>
        <v>22238.874571818182</v>
      </c>
      <c r="O11" s="20">
        <f t="shared" si="11"/>
        <v>28526.5</v>
      </c>
      <c r="P11" s="20"/>
      <c r="Q11" s="20">
        <f t="shared" si="13"/>
        <v>-18344.681818181816</v>
      </c>
      <c r="R11" s="20">
        <f t="shared" si="14"/>
        <v>40583.556389999998</v>
      </c>
      <c r="S11" s="20">
        <f t="shared" si="12"/>
        <v>22238.874571818182</v>
      </c>
    </row>
    <row r="12" spans="2:19">
      <c r="B12" s="19">
        <f t="shared" si="1"/>
        <v>6</v>
      </c>
      <c r="C12" s="5">
        <f t="shared" si="2"/>
        <v>1061520.1506010001</v>
      </c>
      <c r="D12" s="5">
        <f t="shared" si="3"/>
        <v>63060.603006000005</v>
      </c>
      <c r="E12" s="5">
        <v>0</v>
      </c>
      <c r="F12" s="5">
        <f t="shared" si="4"/>
        <v>63060.603006000005</v>
      </c>
      <c r="G12" s="5">
        <f t="shared" si="5"/>
        <v>22071.2110521</v>
      </c>
      <c r="H12" s="5">
        <f t="shared" si="6"/>
        <v>10181.818181818182</v>
      </c>
      <c r="I12" s="5">
        <f t="shared" si="15"/>
        <v>51171.210135718189</v>
      </c>
      <c r="J12" s="5">
        <f t="shared" si="7"/>
        <v>738000</v>
      </c>
      <c r="K12" s="5">
        <f t="shared" si="8"/>
        <v>42700</v>
      </c>
      <c r="L12" s="5">
        <f t="shared" si="9"/>
        <v>14244.999999999998</v>
      </c>
      <c r="M12" s="5">
        <f t="shared" si="0"/>
        <v>20360.603006000005</v>
      </c>
      <c r="N12" s="5">
        <f>I12-K12+L12</f>
        <v>22716.210135718189</v>
      </c>
      <c r="O12" s="20">
        <f t="shared" si="11"/>
        <v>28455</v>
      </c>
      <c r="P12" s="20"/>
      <c r="Q12" s="20">
        <f t="shared" si="13"/>
        <v>-18273.181818181816</v>
      </c>
      <c r="R12" s="20">
        <f t="shared" si="14"/>
        <v>40989.391953900005</v>
      </c>
      <c r="S12" s="20">
        <f t="shared" si="12"/>
        <v>22716.210135718189</v>
      </c>
    </row>
    <row r="13" spans="2:19">
      <c r="B13" s="19">
        <f t="shared" si="1"/>
        <v>7</v>
      </c>
      <c r="C13" s="5">
        <f t="shared" si="2"/>
        <v>1072135.3521070101</v>
      </c>
      <c r="D13" s="5">
        <f t="shared" si="3"/>
        <v>63691.209036059998</v>
      </c>
      <c r="E13" s="5">
        <v>0</v>
      </c>
      <c r="F13" s="5">
        <f t="shared" si="4"/>
        <v>63691.209036059998</v>
      </c>
      <c r="G13" s="5">
        <f t="shared" si="5"/>
        <v>22291.923162620998</v>
      </c>
      <c r="H13" s="5">
        <f t="shared" si="6"/>
        <v>10181.818181818182</v>
      </c>
      <c r="I13" s="5">
        <f t="shared" si="15"/>
        <v>51581.104055257187</v>
      </c>
      <c r="J13" s="5">
        <f t="shared" si="7"/>
        <v>736000</v>
      </c>
      <c r="K13" s="5">
        <f t="shared" si="8"/>
        <v>42590</v>
      </c>
      <c r="L13" s="5">
        <f t="shared" si="9"/>
        <v>14206.499999999998</v>
      </c>
      <c r="M13" s="5">
        <f t="shared" si="0"/>
        <v>21101.209036059998</v>
      </c>
      <c r="N13" s="5">
        <f t="shared" si="10"/>
        <v>23197.604055257187</v>
      </c>
      <c r="O13" s="20">
        <f t="shared" si="11"/>
        <v>28383.5</v>
      </c>
      <c r="P13" s="20"/>
      <c r="Q13" s="20">
        <f t="shared" si="13"/>
        <v>-18201.681818181816</v>
      </c>
      <c r="R13" s="20">
        <f t="shared" si="14"/>
        <v>41399.285873439003</v>
      </c>
      <c r="S13" s="20">
        <f t="shared" si="12"/>
        <v>23197.604055257187</v>
      </c>
    </row>
    <row r="14" spans="2:19">
      <c r="B14" s="19">
        <f t="shared" si="1"/>
        <v>8</v>
      </c>
      <c r="C14" s="5">
        <f t="shared" si="2"/>
        <v>1082856.7056280803</v>
      </c>
      <c r="D14" s="5">
        <f t="shared" si="3"/>
        <v>64328.121126420599</v>
      </c>
      <c r="E14" s="5">
        <v>50000</v>
      </c>
      <c r="F14" s="5">
        <f t="shared" si="4"/>
        <v>14328.121126420599</v>
      </c>
      <c r="G14" s="5">
        <f t="shared" si="5"/>
        <v>22514.842394247207</v>
      </c>
      <c r="H14" s="5">
        <f t="shared" si="6"/>
        <v>10181.818181818182</v>
      </c>
      <c r="I14" s="5">
        <f t="shared" si="15"/>
        <v>1995.0969139915742</v>
      </c>
      <c r="J14" s="5">
        <f t="shared" si="7"/>
        <v>734000</v>
      </c>
      <c r="K14" s="5">
        <f t="shared" si="8"/>
        <v>42480</v>
      </c>
      <c r="L14" s="5">
        <f t="shared" si="9"/>
        <v>14167.999999999998</v>
      </c>
      <c r="M14" s="5">
        <f t="shared" si="0"/>
        <v>-28151.878873579401</v>
      </c>
      <c r="N14" s="5">
        <f t="shared" si="10"/>
        <v>-26316.903086008424</v>
      </c>
      <c r="O14" s="20">
        <f t="shared" si="11"/>
        <v>28312</v>
      </c>
      <c r="P14" s="20"/>
      <c r="Q14" s="20">
        <f t="shared" si="13"/>
        <v>-18130.181818181816</v>
      </c>
      <c r="R14" s="20">
        <f t="shared" si="14"/>
        <v>-8186.7212678266078</v>
      </c>
      <c r="S14" s="20">
        <f t="shared" si="12"/>
        <v>-26316.903086008424</v>
      </c>
    </row>
    <row r="15" spans="2:19">
      <c r="B15" s="19">
        <f t="shared" si="1"/>
        <v>9</v>
      </c>
      <c r="C15" s="5">
        <f t="shared" si="2"/>
        <v>1093685.2726843611</v>
      </c>
      <c r="D15" s="5">
        <f t="shared" si="3"/>
        <v>64971.402337684813</v>
      </c>
      <c r="E15" s="5">
        <v>0</v>
      </c>
      <c r="F15" s="5">
        <f t="shared" si="4"/>
        <v>64971.402337684813</v>
      </c>
      <c r="G15" s="5">
        <f t="shared" si="5"/>
        <v>22739.990818189683</v>
      </c>
      <c r="H15" s="5">
        <f t="shared" si="6"/>
        <v>10181.818181818182</v>
      </c>
      <c r="I15" s="5">
        <f t="shared" si="15"/>
        <v>52413.229701313314</v>
      </c>
      <c r="J15" s="5">
        <f t="shared" si="7"/>
        <v>732000</v>
      </c>
      <c r="K15" s="5">
        <f t="shared" si="8"/>
        <v>42370</v>
      </c>
      <c r="L15" s="5">
        <f t="shared" si="9"/>
        <v>14129.499999999998</v>
      </c>
      <c r="M15" s="5">
        <f t="shared" si="0"/>
        <v>22601.402337684813</v>
      </c>
      <c r="N15" s="5">
        <f t="shared" si="10"/>
        <v>24172.729701313314</v>
      </c>
      <c r="O15" s="20">
        <f t="shared" si="11"/>
        <v>28240.5</v>
      </c>
      <c r="P15" s="20"/>
      <c r="Q15" s="20">
        <f t="shared" si="13"/>
        <v>-18058.681818181816</v>
      </c>
      <c r="R15" s="20">
        <f t="shared" si="14"/>
        <v>42231.41151949513</v>
      </c>
      <c r="S15" s="20">
        <f t="shared" si="12"/>
        <v>24172.729701313314</v>
      </c>
    </row>
    <row r="16" spans="2:19">
      <c r="B16" s="19">
        <f t="shared" si="1"/>
        <v>10</v>
      </c>
      <c r="C16" s="5">
        <f t="shared" si="2"/>
        <v>1104622.1254112048</v>
      </c>
      <c r="D16" s="5">
        <f t="shared" si="3"/>
        <v>65621.116361061664</v>
      </c>
      <c r="E16" s="5">
        <v>0</v>
      </c>
      <c r="F16" s="5">
        <f>C16+D16-E16</f>
        <v>1170243.2417722663</v>
      </c>
      <c r="G16" s="5">
        <f>income_tax_rate*D16+cap_gains_tax_rate*(C16-(C6+SUM(E7:E16)))</f>
        <v>23660.709538052295</v>
      </c>
      <c r="H16" s="5">
        <f>C$6*(income_tax_rate*build_value/depr_years-10*depr_recapture*build_value/depr_years)</f>
        <v>-62545.454545454544</v>
      </c>
      <c r="I16" s="5">
        <f t="shared" si="15"/>
        <v>1084037.0776887594</v>
      </c>
      <c r="J16" s="5">
        <f t="shared" si="7"/>
        <v>730000</v>
      </c>
      <c r="K16" s="5">
        <f>int_rate*J15+J15</f>
        <v>772260</v>
      </c>
      <c r="L16" s="5">
        <f t="shared" si="9"/>
        <v>14090.999999999998</v>
      </c>
      <c r="M16" s="5">
        <f t="shared" si="0"/>
        <v>397983.24177226634</v>
      </c>
      <c r="N16" s="5">
        <f t="shared" si="10"/>
        <v>325868.07768875943</v>
      </c>
      <c r="O16" s="20">
        <f t="shared" si="11"/>
        <v>758169</v>
      </c>
      <c r="P16" s="20"/>
      <c r="Q16" s="20">
        <f t="shared" si="13"/>
        <v>-820714.45454545459</v>
      </c>
      <c r="R16" s="20">
        <f t="shared" si="14"/>
        <v>1146582.532234214</v>
      </c>
      <c r="S16" s="20">
        <f t="shared" si="12"/>
        <v>325868.07768875943</v>
      </c>
    </row>
    <row r="17" spans="3:21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3:21">
      <c r="C18" s="5"/>
      <c r="D18" s="5"/>
      <c r="E18" s="8" t="s">
        <v>134</v>
      </c>
      <c r="F18" s="8">
        <f>IRR(F6:F16,0.1)</f>
        <v>6.0428831757567192E-2</v>
      </c>
      <c r="G18" s="8"/>
      <c r="H18" s="8"/>
      <c r="I18" s="66">
        <f>IRR(I6:I16,0.1)</f>
        <v>4.7568076205054322E-2</v>
      </c>
      <c r="J18" s="5"/>
      <c r="K18" s="8">
        <f>IRR(K6:K16,0.1)</f>
        <v>5.4999999999999938E-2</v>
      </c>
      <c r="L18" s="8"/>
      <c r="M18" s="8">
        <f>IRR(M6:M16,0.1)</f>
        <v>7.3970856701935039E-2</v>
      </c>
      <c r="N18" s="8">
        <f>IRR(N6:N16,0.1)</f>
        <v>6.4376056243434121E-2</v>
      </c>
      <c r="O18" s="66">
        <f>int_rate*(1-debt_market_marginal)</f>
        <v>4.1250000000000002E-2</v>
      </c>
      <c r="P18" s="8"/>
      <c r="Q18" s="7">
        <f>O18</f>
        <v>4.1250000000000002E-2</v>
      </c>
      <c r="R18" s="7">
        <f>I18</f>
        <v>4.7568076205054322E-2</v>
      </c>
      <c r="S18" s="7">
        <f>N18</f>
        <v>6.4376056243434121E-2</v>
      </c>
    </row>
    <row r="19" spans="3:21">
      <c r="J19" s="5"/>
      <c r="P19" s="7"/>
    </row>
    <row r="20" spans="3:21">
      <c r="J20" s="5"/>
      <c r="N20" s="69"/>
      <c r="P20" s="7"/>
    </row>
    <row r="21" spans="3:21">
      <c r="C21" s="23" t="s">
        <v>171</v>
      </c>
      <c r="D21" s="5"/>
      <c r="G21" s="5"/>
      <c r="L21" s="5"/>
      <c r="M21" s="72" t="s">
        <v>166</v>
      </c>
      <c r="N21" s="5"/>
      <c r="Q21" s="23" t="s">
        <v>160</v>
      </c>
    </row>
    <row r="22" spans="3:21">
      <c r="C22" s="6" t="s">
        <v>172</v>
      </c>
      <c r="D22" s="75">
        <v>6.0428831757567192E-2</v>
      </c>
      <c r="E22" s="6" t="s">
        <v>173</v>
      </c>
      <c r="G22" s="13"/>
      <c r="L22" s="13"/>
      <c r="M22" s="73" t="s">
        <v>168</v>
      </c>
      <c r="N22" s="74">
        <f>NPV(N18,N7:N16)</f>
        <v>250000</v>
      </c>
      <c r="O22" s="61"/>
      <c r="S22" s="5"/>
    </row>
    <row r="23" spans="3:21">
      <c r="C23" s="6" t="s">
        <v>40</v>
      </c>
      <c r="D23" s="76">
        <f>NPV(D22,F7:F16)</f>
        <v>999999.99999999988</v>
      </c>
      <c r="G23" s="5"/>
      <c r="L23" s="5"/>
      <c r="M23" s="73" t="s">
        <v>53</v>
      </c>
      <c r="N23" s="74">
        <f>loan_amt</f>
        <v>750000</v>
      </c>
      <c r="O23" s="16"/>
      <c r="R23" s="6" t="s">
        <v>161</v>
      </c>
      <c r="S23" s="5" t="s">
        <v>162</v>
      </c>
      <c r="T23" s="5"/>
      <c r="U23" s="5"/>
    </row>
    <row r="24" spans="3:21">
      <c r="G24" s="5"/>
      <c r="L24" s="5"/>
      <c r="M24" s="73" t="s">
        <v>167</v>
      </c>
      <c r="N24" s="74">
        <f>N22+N23</f>
        <v>1000000</v>
      </c>
      <c r="Q24" s="6" t="s">
        <v>157</v>
      </c>
      <c r="R24" s="71">
        <f>NPV(Q18,Q7:Q16)</f>
        <v>-683592.43205912784</v>
      </c>
      <c r="S24" s="7">
        <f>Q18</f>
        <v>4.1250000000000002E-2</v>
      </c>
      <c r="T24" s="5"/>
      <c r="U24" s="5"/>
    </row>
    <row r="25" spans="3:21">
      <c r="G25" s="5"/>
      <c r="J25" s="5"/>
      <c r="K25" s="5"/>
      <c r="L25" s="5"/>
      <c r="M25" s="65"/>
      <c r="N25" s="5"/>
      <c r="Q25" s="6" t="s">
        <v>158</v>
      </c>
      <c r="R25" s="71">
        <f>NPV(R18,R7:R16)</f>
        <v>933256.77227180183</v>
      </c>
      <c r="S25" s="7">
        <f>R18</f>
        <v>4.7568076205054322E-2</v>
      </c>
      <c r="T25" s="5"/>
      <c r="U25" s="5"/>
    </row>
    <row r="26" spans="3:21">
      <c r="C26" s="23" t="s">
        <v>165</v>
      </c>
      <c r="M26" s="73" t="s">
        <v>169</v>
      </c>
      <c r="N26" s="20">
        <f>D41-D35</f>
        <v>250000</v>
      </c>
      <c r="Q26" s="6" t="s">
        <v>23</v>
      </c>
      <c r="R26" s="71">
        <f>NPV(S18,S7:S16)</f>
        <v>250000</v>
      </c>
      <c r="S26" s="7">
        <f>S18</f>
        <v>6.4376056243434121E-2</v>
      </c>
    </row>
    <row r="27" spans="3:21">
      <c r="C27" s="6" t="s">
        <v>174</v>
      </c>
      <c r="M27" s="6" t="s">
        <v>170</v>
      </c>
      <c r="N27" s="20">
        <f>N22-N26</f>
        <v>0</v>
      </c>
      <c r="R27" s="69"/>
    </row>
    <row r="28" spans="3:21">
      <c r="C28" s="6" t="s">
        <v>175</v>
      </c>
      <c r="Q28" s="23" t="s">
        <v>195</v>
      </c>
    </row>
    <row r="29" spans="3:21">
      <c r="C29" s="6" t="s">
        <v>179</v>
      </c>
      <c r="Q29" s="6" t="s">
        <v>163</v>
      </c>
    </row>
    <row r="30" spans="3:21">
      <c r="C30" s="77" t="s">
        <v>176</v>
      </c>
      <c r="Q30" s="6" t="s">
        <v>191</v>
      </c>
    </row>
    <row r="31" spans="3:21">
      <c r="C31" s="6" t="s">
        <v>178</v>
      </c>
      <c r="Q31" s="6" t="s">
        <v>192</v>
      </c>
    </row>
    <row r="32" spans="3:21">
      <c r="C32" s="6" t="s">
        <v>177</v>
      </c>
      <c r="Q32" s="6" t="s">
        <v>193</v>
      </c>
    </row>
    <row r="33" spans="3:17">
      <c r="Q33" s="6" t="s">
        <v>194</v>
      </c>
    </row>
    <row r="34" spans="3:17">
      <c r="D34" s="5"/>
    </row>
    <row r="35" spans="3:17">
      <c r="C35" s="15" t="s">
        <v>155</v>
      </c>
      <c r="D35" s="78">
        <f>-O6</f>
        <v>717119.29744056019</v>
      </c>
      <c r="E35" s="6" t="s">
        <v>185</v>
      </c>
    </row>
    <row r="36" spans="3:17">
      <c r="C36" s="10" t="s">
        <v>182</v>
      </c>
      <c r="D36" s="79">
        <f>loan_amt-D35</f>
        <v>32880.702559439815</v>
      </c>
      <c r="E36" s="6" t="s">
        <v>180</v>
      </c>
    </row>
    <row r="37" spans="3:17">
      <c r="C37" s="6" t="s">
        <v>183</v>
      </c>
      <c r="D37" s="79">
        <f>-1*D36</f>
        <v>-32880.702559439815</v>
      </c>
    </row>
    <row r="38" spans="3:17">
      <c r="C38" s="6" t="s">
        <v>170</v>
      </c>
      <c r="D38" s="79">
        <f>D36+D37</f>
        <v>0</v>
      </c>
      <c r="E38" s="6" t="s">
        <v>181</v>
      </c>
    </row>
    <row r="40" spans="3:17">
      <c r="C40" s="23" t="s">
        <v>164</v>
      </c>
      <c r="D40" s="5"/>
    </row>
    <row r="41" spans="3:17">
      <c r="C41" s="6" t="s">
        <v>155</v>
      </c>
      <c r="D41" s="20">
        <f>C6+D37</f>
        <v>967119.29744056019</v>
      </c>
      <c r="E41" s="6" t="s">
        <v>186</v>
      </c>
    </row>
    <row r="42" spans="3:17">
      <c r="C42" s="6" t="s">
        <v>154</v>
      </c>
      <c r="D42" s="70">
        <f>NPV(O18,H7:H16)</f>
        <v>33526.865381432399</v>
      </c>
    </row>
    <row r="44" spans="3:17">
      <c r="C44" s="93" t="s">
        <v>184</v>
      </c>
    </row>
    <row r="45" spans="3:17">
      <c r="C45" s="6" t="s">
        <v>187</v>
      </c>
    </row>
    <row r="46" spans="3:17">
      <c r="C46" s="6" t="s">
        <v>188</v>
      </c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R2:R3"/>
    <mergeCell ref="Q2:Q3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B13"/>
  <sheetViews>
    <sheetView workbookViewId="0"/>
  </sheetViews>
  <sheetFormatPr baseColWidth="10" defaultRowHeight="16"/>
  <sheetData>
    <row r="3" spans="2:2">
      <c r="B3" s="35" t="s">
        <v>84</v>
      </c>
    </row>
    <row r="5" spans="2:2">
      <c r="B5" s="37" t="s">
        <v>71</v>
      </c>
    </row>
    <row r="6" spans="2:2">
      <c r="B6" t="s">
        <v>70</v>
      </c>
    </row>
    <row r="7" spans="2:2">
      <c r="B7" t="s">
        <v>69</v>
      </c>
    </row>
    <row r="9" spans="2:2">
      <c r="B9" s="37" t="s">
        <v>72</v>
      </c>
    </row>
    <row r="10" spans="2:2">
      <c r="B10" t="s">
        <v>73</v>
      </c>
    </row>
    <row r="11" spans="2:2">
      <c r="B11" t="s">
        <v>74</v>
      </c>
    </row>
    <row r="13" spans="2:2">
      <c r="B1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Read First!</vt:lpstr>
      <vt:lpstr>PBT Extra Example</vt:lpstr>
      <vt:lpstr>Inputs</vt:lpstr>
      <vt:lpstr>Calc</vt:lpstr>
      <vt:lpstr>Property Level Pro-Forma</vt:lpstr>
      <vt:lpstr>Equity-Level Pro Porma</vt:lpstr>
      <vt:lpstr>IRR Summary</vt:lpstr>
      <vt:lpstr>Investment Decision Making</vt:lpstr>
      <vt:lpstr>Additional Notes</vt:lpstr>
      <vt:lpstr>amort</vt:lpstr>
      <vt:lpstr>appreciation_rate</vt:lpstr>
      <vt:lpstr>build_value</vt:lpstr>
      <vt:lpstr>cap_gains_tax_rate</vt:lpstr>
      <vt:lpstr>debt_market_marginal</vt:lpstr>
      <vt:lpstr>depr_recapture</vt:lpstr>
      <vt:lpstr>depr_years</vt:lpstr>
      <vt:lpstr>income_tax_rate</vt:lpstr>
      <vt:lpstr>int_rate</vt:lpstr>
      <vt:lpstr>loan_amt</vt:lpstr>
      <vt:lpstr>market_price</vt:lpstr>
      <vt:lpstr>Calc!Print_Area</vt:lpstr>
      <vt:lpstr>yield_rate</vt:lpstr>
    </vt:vector>
  </TitlesOfParts>
  <Company>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</dc:creator>
  <cp:lastModifiedBy>Zachary Fischer</cp:lastModifiedBy>
  <dcterms:created xsi:type="dcterms:W3CDTF">2005-12-23T19:23:55Z</dcterms:created>
  <dcterms:modified xsi:type="dcterms:W3CDTF">2021-01-28T23:12:16Z</dcterms:modified>
</cp:coreProperties>
</file>