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ennethqian/Dropbox/QFI/QFI Quant Exam/Supplemental Materials/Suggested Study Schedule/"/>
    </mc:Choice>
  </mc:AlternateContent>
  <xr:revisionPtr revIDLastSave="0" documentId="13_ncr:1_{3AD128EB-4CC0-524D-B107-B15DEE855C69}" xr6:coauthVersionLast="47" xr6:coauthVersionMax="47" xr10:uidLastSave="{00000000-0000-0000-0000-000000000000}"/>
  <bookViews>
    <workbookView xWindow="43040" yWindow="500" windowWidth="27080" windowHeight="18660" xr2:uid="{00000000-000D-0000-FFFF-FFFF00000000}"/>
  </bookViews>
  <sheets>
    <sheet name="Documentation" sheetId="6" r:id="rId1"/>
    <sheet name="Schedule" sheetId="3" r:id="rId2"/>
    <sheet name="Tracking" sheetId="2" r:id="rId3"/>
    <sheet name="RevisionHistory" sheetId="8" r:id="rId4"/>
    <sheet name="info" sheetId="7" r:id="rId5"/>
  </sheets>
  <definedNames>
    <definedName name="ActFDate">Schedule!$C$6:$C$45</definedName>
    <definedName name="CompFlag">Schedule!$G$6:$G$45</definedName>
    <definedName name="DayLookUp">info!$E$6:$H$128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Documentation!$A$1:$N$37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3" l="1"/>
  <c r="F30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4" i="7"/>
  <c r="G6" i="7" s="1"/>
  <c r="B4" i="7" l="1"/>
  <c r="B6" i="7" s="1"/>
  <c r="F44" i="3" l="1"/>
  <c r="F43" i="3"/>
  <c r="F42" i="3"/>
  <c r="F41" i="3"/>
  <c r="F40" i="3"/>
  <c r="F39" i="3"/>
  <c r="F38" i="3"/>
  <c r="F37" i="3"/>
  <c r="F36" i="3"/>
  <c r="F35" i="3"/>
  <c r="F34" i="3"/>
  <c r="F33" i="3"/>
  <c r="F32" i="3"/>
  <c r="F14" i="3"/>
  <c r="F12" i="3"/>
  <c r="F11" i="3"/>
  <c r="F10" i="3"/>
  <c r="F9" i="3"/>
  <c r="F8" i="3"/>
  <c r="F7" i="3"/>
  <c r="F6" i="3"/>
  <c r="H32" i="3" l="1"/>
  <c r="H29" i="3"/>
  <c r="H20" i="3"/>
  <c r="H27" i="3"/>
  <c r="H28" i="3"/>
  <c r="H30" i="3"/>
  <c r="H16" i="3"/>
  <c r="H24" i="3"/>
  <c r="H15" i="3"/>
  <c r="H23" i="3"/>
  <c r="H25" i="3"/>
  <c r="H17" i="3"/>
  <c r="H26" i="3"/>
  <c r="H19" i="3"/>
  <c r="H22" i="3"/>
  <c r="H21" i="3"/>
  <c r="H18" i="3"/>
  <c r="O3" i="3"/>
  <c r="O2" i="3"/>
  <c r="H9" i="3"/>
  <c r="H33" i="3"/>
  <c r="H37" i="3"/>
  <c r="H41" i="3"/>
  <c r="H10" i="3"/>
  <c r="H34" i="3"/>
  <c r="H38" i="3"/>
  <c r="H42" i="3"/>
  <c r="H7" i="3"/>
  <c r="H11" i="3"/>
  <c r="H35" i="3"/>
  <c r="H39" i="3"/>
  <c r="H43" i="3"/>
  <c r="H8" i="3"/>
  <c r="H12" i="3"/>
  <c r="H14" i="3"/>
  <c r="H36" i="3"/>
  <c r="H40" i="3"/>
  <c r="H44" i="3"/>
  <c r="H45" i="3"/>
  <c r="H31" i="3"/>
  <c r="H13" i="3"/>
  <c r="C7" i="3"/>
  <c r="O1" i="3" l="1"/>
  <c r="C8" i="3"/>
  <c r="C9" i="3" s="1"/>
  <c r="C10" i="3" s="1"/>
  <c r="C11" i="3" s="1"/>
  <c r="C12" i="3" s="1"/>
  <c r="B56" i="3" l="1"/>
  <c r="B54" i="3" s="1"/>
  <c r="B52" i="3" s="1"/>
  <c r="B50" i="3" l="1"/>
  <c r="B47" i="3" s="1"/>
  <c r="B60" i="3"/>
  <c r="H6" i="3"/>
  <c r="G34" i="7" l="1"/>
  <c r="H34" i="7" s="1"/>
  <c r="G22" i="7"/>
  <c r="H22" i="7" s="1"/>
  <c r="G21" i="7"/>
  <c r="H21" i="7" s="1"/>
  <c r="G27" i="7"/>
  <c r="H27" i="7" s="1"/>
  <c r="G26" i="7"/>
  <c r="H26" i="7" s="1"/>
  <c r="G25" i="7"/>
  <c r="H25" i="7" s="1"/>
  <c r="G23" i="7"/>
  <c r="H23" i="7" s="1"/>
  <c r="G24" i="7"/>
  <c r="H24" i="7" s="1"/>
  <c r="G38" i="7"/>
  <c r="H38" i="7" s="1"/>
  <c r="G9" i="7"/>
  <c r="H9" i="7" s="1"/>
  <c r="G8" i="7"/>
  <c r="H8" i="7" s="1"/>
  <c r="G41" i="7"/>
  <c r="H41" i="7" s="1"/>
  <c r="G37" i="7"/>
  <c r="H37" i="7" s="1"/>
  <c r="G33" i="7"/>
  <c r="H33" i="7" s="1"/>
  <c r="G20" i="7"/>
  <c r="H20" i="7" s="1"/>
  <c r="G12" i="7"/>
  <c r="H12" i="7" s="1"/>
  <c r="G40" i="7"/>
  <c r="H40" i="7" s="1"/>
  <c r="G36" i="7"/>
  <c r="H36" i="7" s="1"/>
  <c r="G32" i="7"/>
  <c r="H32" i="7" s="1"/>
  <c r="G28" i="7"/>
  <c r="H28" i="7" s="1"/>
  <c r="G19" i="7"/>
  <c r="H19" i="7" s="1"/>
  <c r="G15" i="7"/>
  <c r="H15" i="7" s="1"/>
  <c r="G11" i="7"/>
  <c r="H11" i="7" s="1"/>
  <c r="G7" i="7"/>
  <c r="H7" i="7" s="1"/>
  <c r="G39" i="7"/>
  <c r="H39" i="7" s="1"/>
  <c r="G35" i="7"/>
  <c r="H35" i="7" s="1"/>
  <c r="G31" i="7"/>
  <c r="H31" i="7" s="1"/>
  <c r="G18" i="7"/>
  <c r="H18" i="7" s="1"/>
  <c r="G14" i="7"/>
  <c r="H14" i="7" s="1"/>
  <c r="G10" i="7"/>
  <c r="H10" i="7" s="1"/>
  <c r="H6" i="7"/>
  <c r="B6" i="3" s="1"/>
  <c r="G42" i="7"/>
  <c r="H42" i="7" s="1"/>
  <c r="G30" i="7"/>
  <c r="H30" i="7" s="1"/>
  <c r="G17" i="7"/>
  <c r="H17" i="7" s="1"/>
  <c r="G13" i="7"/>
  <c r="H13" i="7" s="1"/>
  <c r="G29" i="7"/>
  <c r="H29" i="7" s="1"/>
  <c r="G16" i="7"/>
  <c r="H16" i="7" s="1"/>
  <c r="H4" i="7" l="1"/>
  <c r="B7" i="3"/>
  <c r="B8" i="3" l="1"/>
  <c r="B9" i="3" l="1"/>
  <c r="B10" i="3" l="1"/>
  <c r="B11" i="3" l="1"/>
  <c r="B12" i="3" l="1"/>
  <c r="B13" i="3" s="1"/>
  <c r="B14" i="3" s="1"/>
  <c r="B15" i="3" l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I15" i="3" l="1"/>
  <c r="J15" i="3" s="1"/>
  <c r="I16" i="3"/>
  <c r="J16" i="3" s="1"/>
  <c r="I12" i="3"/>
  <c r="J12" i="3" s="1"/>
  <c r="I10" i="3"/>
  <c r="J10" i="3" s="1"/>
  <c r="I17" i="3" l="1"/>
  <c r="J17" i="3" s="1"/>
  <c r="I6" i="3"/>
  <c r="I11" i="3"/>
  <c r="J11" i="3" s="1"/>
  <c r="I7" i="3"/>
  <c r="J7" i="3" s="1"/>
  <c r="I9" i="3"/>
  <c r="J9" i="3" s="1"/>
  <c r="I8" i="3"/>
  <c r="J8" i="3" s="1"/>
  <c r="I18" i="3" l="1"/>
  <c r="J18" i="3" s="1"/>
  <c r="I14" i="3"/>
  <c r="J14" i="3" s="1"/>
  <c r="I19" i="3" l="1"/>
  <c r="J19" i="3" s="1"/>
  <c r="I20" i="3" l="1"/>
  <c r="J20" i="3" s="1"/>
  <c r="I21" i="3" l="1"/>
  <c r="J21" i="3" s="1"/>
  <c r="I22" i="3" l="1"/>
  <c r="J22" i="3" s="1"/>
  <c r="I23" i="3" l="1"/>
  <c r="J23" i="3" s="1"/>
  <c r="I24" i="3" l="1"/>
  <c r="J24" i="3" s="1"/>
  <c r="I25" i="3" l="1"/>
  <c r="J25" i="3" s="1"/>
  <c r="I26" i="3" l="1"/>
  <c r="J26" i="3" s="1"/>
  <c r="I27" i="3" l="1"/>
  <c r="J27" i="3" s="1"/>
  <c r="I28" i="3" l="1"/>
  <c r="J28" i="3" s="1"/>
  <c r="I29" i="3" l="1"/>
  <c r="J29" i="3" s="1"/>
  <c r="I30" i="3" l="1"/>
  <c r="J30" i="3" s="1"/>
  <c r="I32" i="3" l="1"/>
  <c r="J32" i="3" s="1"/>
  <c r="I33" i="3" l="1"/>
  <c r="J33" i="3" s="1"/>
  <c r="I34" i="3" l="1"/>
  <c r="J34" i="3" s="1"/>
  <c r="I35" i="3" l="1"/>
  <c r="J35" i="3" s="1"/>
  <c r="I36" i="3" l="1"/>
  <c r="J36" i="3" s="1"/>
  <c r="I37" i="3" l="1"/>
  <c r="J37" i="3" s="1"/>
  <c r="I38" i="3" l="1"/>
  <c r="J38" i="3" s="1"/>
  <c r="I39" i="3" l="1"/>
  <c r="J39" i="3" s="1"/>
  <c r="I40" i="3" l="1"/>
  <c r="J40" i="3" s="1"/>
  <c r="I41" i="3" l="1"/>
  <c r="J41" i="3" s="1"/>
  <c r="J6" i="3"/>
  <c r="I13" i="3"/>
  <c r="J13" i="3" s="1"/>
  <c r="I31" i="3"/>
  <c r="J31" i="3" s="1"/>
  <c r="I42" i="3" l="1"/>
  <c r="J42" i="3" s="1"/>
  <c r="I43" i="3" l="1"/>
  <c r="J43" i="3" s="1"/>
  <c r="I44" i="3" l="1"/>
  <c r="J44" i="3" s="1"/>
  <c r="I45" i="3" l="1"/>
  <c r="J45" i="3" s="1"/>
</calcChain>
</file>

<file path=xl/sharedStrings.xml><?xml version="1.0" encoding="utf-8"?>
<sst xmlns="http://schemas.openxmlformats.org/spreadsheetml/2006/main" count="221" uniqueCount="106">
  <si>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</si>
  <si>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</si>
  <si>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</si>
  <si>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</si>
  <si>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</si>
  <si>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</si>
  <si>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</si>
  <si>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</si>
  <si>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</si>
  <si>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</si>
  <si>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</si>
  <si>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</si>
  <si>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</si>
  <si>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</si>
  <si>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</si>
  <si>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</si>
  <si>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</si>
  <si>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</si>
  <si>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</si>
  <si>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</si>
  <si>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</si>
  <si>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</si>
  <si>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</si>
  <si>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</si>
  <si>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</si>
  <si>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</si>
  <si>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</si>
  <si>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</si>
  <si>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</si>
  <si>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</si>
  <si>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</si>
  <si>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</si>
  <si>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</si>
  <si>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</si>
  <si>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</si>
  <si>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</si>
  <si>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</si>
  <si>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</si>
  <si>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</si>
  <si>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</si>
  <si>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</si>
  <si>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</si>
  <si>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</si>
  <si>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</si>
  <si>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</si>
  <si>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</si>
  <si>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Yes</t>
  </si>
  <si>
    <t>Note: To use this tool you will adjust the cells in blue to match your actual study schedule.</t>
  </si>
  <si>
    <t>Do not cram. It is important that you are well-rested for exam day</t>
  </si>
  <si>
    <t>Use flash cards (TIA has an iPhone Flashcards app, Android Flashcards app, and Web Flashcards tab)</t>
  </si>
  <si>
    <t>Section</t>
  </si>
  <si>
    <t>Review Section 1</t>
  </si>
  <si>
    <t>Do something fun, relax.   You're FREE!!!!!</t>
  </si>
  <si>
    <t>Reading Name</t>
  </si>
  <si>
    <t>Instructor</t>
  </si>
  <si>
    <t>ZF</t>
  </si>
  <si>
    <t>KQ</t>
  </si>
  <si>
    <t>Version</t>
  </si>
  <si>
    <t>Date</t>
  </si>
  <si>
    <t>Notes</t>
  </si>
  <si>
    <t>v1</t>
  </si>
  <si>
    <t>Problems and Solutions in Mathematical Finance: Stochastic Calculus, Chin</t>
  </si>
  <si>
    <t>Hull - Ch. 1: Introduction (Sections 1.1-1.5)</t>
  </si>
  <si>
    <t>Hull - Ch. 2: Futures Markets and Central Counterparties (Sections 2.1-2.8; 2.11)</t>
  </si>
  <si>
    <t>Hull - Ch. 7: Swaps (Sections 7.1-7.2)</t>
  </si>
  <si>
    <t>Hull - Ch. 12: Trading Strategies Involving Options (Sections 12.1-12.5)</t>
  </si>
  <si>
    <t>Hull - Ch. 17: Options on Stock Indices and Currencies (Sections 17.2)</t>
  </si>
  <si>
    <t>Hull - Ch. 26: Exotic Options (Sections 26.3; 26.8-26.11; 26.13; 26.16)</t>
  </si>
  <si>
    <t>Hull - Ch. 29: Interest Rate Derivatives: The Standard Market Models (Sections 29.2-29.3)</t>
  </si>
  <si>
    <t>Hull - Ch. 5: Determinations of Forwards and Futures Price (Sections 5.1-5.14)</t>
  </si>
  <si>
    <t>Hull - Ch. 11: Properties of Stock Options (Sections 11.1-11.7)</t>
  </si>
  <si>
    <t>Hull - Ch. 13: Binomial Trees (Sections 13.1-13.3)</t>
  </si>
  <si>
    <t>Hull - Ch. 14: Wiener Processes and Ito’s Lemma (Sections 14.1-14.8)</t>
  </si>
  <si>
    <t>Hull - Ch. 15: The Black-Scholes-Merton Model (Sections 15.1-15.12)</t>
  </si>
  <si>
    <t>Hull - Ch. 20: Volatility Smiles and Volatility Surfaces (Sections 20.1-20.8)</t>
  </si>
  <si>
    <t>Hull - Ch. 27: More on Models and Numerical Procedures (Sections 27.1-27.3)</t>
  </si>
  <si>
    <t>Hull - Ch. 28: Martingales and Measures (Sections 28.1-28.4; 28:7-28.8)</t>
  </si>
  <si>
    <t>Hull - Ch. 31: Equilibrium Models of Short Rate (Section 31.3)</t>
  </si>
  <si>
    <t>INV201-100-25: Chapter 5 of Financial Mathematics – A Comprehensive Treatment Campolieti 2nd edition</t>
  </si>
  <si>
    <t>INV201-101-25: Chapter 6 of Introduction to Stochastic Finance with Market Examples by Privault (Sections 6.1-6.4)</t>
  </si>
  <si>
    <t>INV201-102-25: How To Use The Holes In Black-Scholes</t>
  </si>
  <si>
    <t>INV201-103-25: Calibrating Interest Rate Models (Section 1.1-4.3 excl 4.1.2)</t>
  </si>
  <si>
    <t>Hull - Ch. 19: The Greek Letters (Sections 19.1-19.9)</t>
  </si>
  <si>
    <t>Hull - Ch. 26: Exotic Options (Section 26.17)</t>
  </si>
  <si>
    <t>Hull - Ch. 37: Derivatives Mishaps and What We Can Learn from Them (Sections 37.1-37.3)</t>
  </si>
  <si>
    <t>INV201-104-25: Which Free Lunch Would You Like Today, Sir?</t>
  </si>
  <si>
    <t>INV201-105-25: An Introduction to Computational Risk Management of Equity-Linked Insurance, Feng, 2018 (sections 1.2-1.3, 4.7 &amp; 6.2-6.3)</t>
  </si>
  <si>
    <t>INV201-106-25: Variable Annuity Volatility Management: An Era of Risk-Control</t>
  </si>
  <si>
    <t>INV201-108-25: Mitigating Interest Rate Risk in Variable Annuities: An Analysis of Hedging Effectiveness under Model Risk</t>
  </si>
  <si>
    <t>INV201-109-25: Investment Instruments with Volatility Target Mechanism</t>
  </si>
  <si>
    <t>INV201-107-25: It's RILA time: An introduction to registered index‐linked annuities (excluding appendices)</t>
  </si>
  <si>
    <t>1. Topic: Key Types of Derivatives</t>
  </si>
  <si>
    <t>2. Topic: Valuation of Derivatives</t>
  </si>
  <si>
    <t>3. Topic: Applications and Risks of Derivatives</t>
  </si>
  <si>
    <t>Vol Smile - Ch. 3: Static and Dynamic Replication</t>
  </si>
  <si>
    <t>Vol Smile - Ch. 5: The P&amp;L of Hedged Option Strategies in a Black-Scholes-Merton World</t>
  </si>
  <si>
    <t>Vol Smile - Ch. 6: The Effect of Discrete Hedging on P&amp;L</t>
  </si>
  <si>
    <t>Vol Smile - Ch. 7: The Effect of Transaction Costs on P&amp;L</t>
  </si>
  <si>
    <t>Vol Smile - Ch. 8: The Smile: Stylized Facts and Their Interpretation</t>
  </si>
  <si>
    <t>Vol Smile - Ch. 10: A Survey of Smile Models</t>
  </si>
  <si>
    <t>Understanding the Connection Between Real-World and Risk-Neutral Generators, SOA Research, Aug 2022, Sections 1-5, and Appendices A &amp; D</t>
  </si>
  <si>
    <t>Finish working through all TIA practice problems and past SOA exam problems</t>
  </si>
  <si>
    <t>Become extremely familiar with the exam-day process</t>
  </si>
  <si>
    <t>v1 of the TIA INV-201 suggested study schedule for Spring 2026 was released</t>
  </si>
  <si>
    <t>This spreadsheet tracks your study progress for the INV-201 Exam and was developed by</t>
  </si>
  <si>
    <t>The default start date on the Schedule tab is 12/1/2025, but you can enter a different date, and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</si>
</sst>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2" fillId="0" borderId="0" xfId="13" applyFont="1" applyAlignment="1">
      <alignment horizontal="left"/>
    </xf>
    <xf numFmtId="0" fontId="15" fillId="0" borderId="0" xfId="13" applyFont="1"/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3" fontId="0" fillId="0" borderId="0" xfId="0" applyNumberFormat="1"/>
    <xf numFmtId="9" fontId="0" fillId="0" borderId="0" xfId="0" applyNumberFormat="1"/>
    <xf numFmtId="0" fontId="16" fillId="0" borderId="0" xfId="0" applyFont="1"/>
    <xf numFmtId="0" fontId="3" fillId="6" borderId="0" xfId="0" applyFont="1" applyFill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wrapText="1"/>
    </xf>
    <xf numFmtId="14" fontId="3" fillId="4" borderId="5" xfId="0" applyNumberFormat="1" applyFont="1" applyFill="1" applyBorder="1" applyProtection="1">
      <protection locked="0"/>
    </xf>
    <xf numFmtId="14" fontId="0" fillId="4" borderId="0" xfId="0" applyNumberFormat="1" applyFill="1" applyProtection="1">
      <protection locked="0"/>
    </xf>
    <xf numFmtId="14" fontId="7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/>
    <xf numFmtId="0" fontId="18" fillId="4" borderId="0" xfId="0" applyFont="1" applyFill="1" applyAlignment="1" applyProtection="1">
      <alignment horizontal="center"/>
      <protection locked="0"/>
    </xf>
    <xf numFmtId="1" fontId="8" fillId="4" borderId="5" xfId="0" applyNumberFormat="1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9" fontId="8" fillId="4" borderId="6" xfId="2" applyFont="1" applyFill="1" applyBorder="1" applyProtection="1">
      <protection locked="0"/>
    </xf>
    <xf numFmtId="14" fontId="3" fillId="4" borderId="10" xfId="0" applyNumberFormat="1" applyFont="1" applyFill="1" applyBorder="1" applyProtection="1">
      <protection locked="0"/>
    </xf>
    <xf numFmtId="14" fontId="0" fillId="4" borderId="11" xfId="0" applyNumberFormat="1" applyFill="1" applyBorder="1" applyProtection="1">
      <protection locked="0"/>
    </xf>
    <xf numFmtId="14" fontId="7" fillId="4" borderId="11" xfId="0" applyNumberFormat="1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wrapText="1"/>
      <protection locked="0"/>
    </xf>
    <xf numFmtId="0" fontId="3" fillId="4" borderId="11" xfId="0" applyFont="1" applyFill="1" applyBorder="1"/>
    <xf numFmtId="0" fontId="18" fillId="4" borderId="11" xfId="0" applyFont="1" applyFill="1" applyBorder="1" applyAlignment="1" applyProtection="1">
      <alignment horizontal="center"/>
      <protection locked="0"/>
    </xf>
    <xf numFmtId="1" fontId="8" fillId="4" borderId="10" xfId="0" applyNumberFormat="1" applyFont="1" applyFill="1" applyBorder="1" applyProtection="1">
      <protection locked="0"/>
    </xf>
    <xf numFmtId="0" fontId="8" fillId="4" borderId="11" xfId="0" applyFont="1" applyFill="1" applyBorder="1" applyProtection="1">
      <protection locked="0"/>
    </xf>
    <xf numFmtId="9" fontId="8" fillId="4" borderId="12" xfId="2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INV-201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45992.906424581008</c:v>
                </c:pt>
                <c:pt idx="1">
                  <c:v>45994.472067039111</c:v>
                </c:pt>
                <c:pt idx="2">
                  <c:v>45994.801675977658</c:v>
                </c:pt>
                <c:pt idx="3">
                  <c:v>45996.120111731849</c:v>
                </c:pt>
                <c:pt idx="4">
                  <c:v>45996.449720670396</c:v>
                </c:pt>
                <c:pt idx="5">
                  <c:v>45997.603351955309</c:v>
                </c:pt>
                <c:pt idx="6">
                  <c:v>45998.509776536317</c:v>
                </c:pt>
                <c:pt idx="7">
                  <c:v>45998.509776536317</c:v>
                </c:pt>
                <c:pt idx="8">
                  <c:v>46000.487430167603</c:v>
                </c:pt>
                <c:pt idx="9">
                  <c:v>46001.805865921793</c:v>
                </c:pt>
                <c:pt idx="10">
                  <c:v>46002.629888268159</c:v>
                </c:pt>
                <c:pt idx="11">
                  <c:v>46003.783519553072</c:v>
                </c:pt>
                <c:pt idx="12">
                  <c:v>46005.678770949722</c:v>
                </c:pt>
                <c:pt idx="13">
                  <c:v>46006.667597765365</c:v>
                </c:pt>
                <c:pt idx="14">
                  <c:v>46007.409217877095</c:v>
                </c:pt>
                <c:pt idx="15">
                  <c:v>46008.398044692738</c:v>
                </c:pt>
                <c:pt idx="16">
                  <c:v>46008.480446927373</c:v>
                </c:pt>
                <c:pt idx="17">
                  <c:v>46011.034916201119</c:v>
                </c:pt>
                <c:pt idx="18">
                  <c:v>46012.847765363127</c:v>
                </c:pt>
                <c:pt idx="19">
                  <c:v>46013.754189944135</c:v>
                </c:pt>
                <c:pt idx="20">
                  <c:v>46017.709497206706</c:v>
                </c:pt>
                <c:pt idx="21">
                  <c:v>46019.192737430167</c:v>
                </c:pt>
                <c:pt idx="22">
                  <c:v>46019.769553072627</c:v>
                </c:pt>
                <c:pt idx="23">
                  <c:v>46024.054469273746</c:v>
                </c:pt>
                <c:pt idx="24">
                  <c:v>46027.185754189944</c:v>
                </c:pt>
                <c:pt idx="25">
                  <c:v>46027.185754189944</c:v>
                </c:pt>
                <c:pt idx="26">
                  <c:v>46028.916201117318</c:v>
                </c:pt>
                <c:pt idx="27">
                  <c:v>46029.16340782123</c:v>
                </c:pt>
                <c:pt idx="28">
                  <c:v>46030.152234636873</c:v>
                </c:pt>
                <c:pt idx="29">
                  <c:v>46031.717877094976</c:v>
                </c:pt>
                <c:pt idx="30">
                  <c:v>46033.283519553079</c:v>
                </c:pt>
                <c:pt idx="31">
                  <c:v>46034.272346368722</c:v>
                </c:pt>
                <c:pt idx="32">
                  <c:v>46035.343575419</c:v>
                </c:pt>
                <c:pt idx="33">
                  <c:v>46036.66201117319</c:v>
                </c:pt>
                <c:pt idx="34">
                  <c:v>46041.276536312856</c:v>
                </c:pt>
                <c:pt idx="35">
                  <c:v>46045.396648044698</c:v>
                </c:pt>
                <c:pt idx="36">
                  <c:v>46047.621508379896</c:v>
                </c:pt>
                <c:pt idx="37">
                  <c:v>46050.011173184364</c:v>
                </c:pt>
                <c:pt idx="38">
                  <c:v>46051.000000000007</c:v>
                </c:pt>
                <c:pt idx="39">
                  <c:v>46051.000000000007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11</c:v>
                </c:pt>
                <c:pt idx="1">
                  <c:v>30</c:v>
                </c:pt>
                <c:pt idx="2">
                  <c:v>34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  <c:pt idx="6">
                  <c:v>79</c:v>
                </c:pt>
                <c:pt idx="7">
                  <c:v>79</c:v>
                </c:pt>
                <c:pt idx="8">
                  <c:v>103</c:v>
                </c:pt>
                <c:pt idx="9">
                  <c:v>119</c:v>
                </c:pt>
                <c:pt idx="10">
                  <c:v>129</c:v>
                </c:pt>
                <c:pt idx="11">
                  <c:v>143</c:v>
                </c:pt>
                <c:pt idx="12">
                  <c:v>166</c:v>
                </c:pt>
                <c:pt idx="13">
                  <c:v>178</c:v>
                </c:pt>
                <c:pt idx="14">
                  <c:v>187</c:v>
                </c:pt>
                <c:pt idx="15">
                  <c:v>199</c:v>
                </c:pt>
                <c:pt idx="16">
                  <c:v>200</c:v>
                </c:pt>
                <c:pt idx="17">
                  <c:v>231</c:v>
                </c:pt>
                <c:pt idx="18">
                  <c:v>253</c:v>
                </c:pt>
                <c:pt idx="19">
                  <c:v>264</c:v>
                </c:pt>
                <c:pt idx="20">
                  <c:v>312</c:v>
                </c:pt>
                <c:pt idx="21">
                  <c:v>330</c:v>
                </c:pt>
                <c:pt idx="22">
                  <c:v>337</c:v>
                </c:pt>
                <c:pt idx="23">
                  <c:v>389</c:v>
                </c:pt>
                <c:pt idx="24">
                  <c:v>427</c:v>
                </c:pt>
                <c:pt idx="25">
                  <c:v>427</c:v>
                </c:pt>
                <c:pt idx="26">
                  <c:v>448</c:v>
                </c:pt>
                <c:pt idx="27">
                  <c:v>451</c:v>
                </c:pt>
                <c:pt idx="28">
                  <c:v>463</c:v>
                </c:pt>
                <c:pt idx="29">
                  <c:v>482</c:v>
                </c:pt>
                <c:pt idx="30">
                  <c:v>501</c:v>
                </c:pt>
                <c:pt idx="31">
                  <c:v>513</c:v>
                </c:pt>
                <c:pt idx="32">
                  <c:v>526</c:v>
                </c:pt>
                <c:pt idx="33">
                  <c:v>542</c:v>
                </c:pt>
                <c:pt idx="34">
                  <c:v>598</c:v>
                </c:pt>
                <c:pt idx="35">
                  <c:v>648</c:v>
                </c:pt>
                <c:pt idx="36">
                  <c:v>675</c:v>
                </c:pt>
                <c:pt idx="37">
                  <c:v>704</c:v>
                </c:pt>
                <c:pt idx="38">
                  <c:v>716</c:v>
                </c:pt>
                <c:pt idx="39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45992.906424581008</c:v>
                </c:pt>
                <c:pt idx="1">
                  <c:v>45994.472067039111</c:v>
                </c:pt>
                <c:pt idx="2">
                  <c:v>45994.801675977658</c:v>
                </c:pt>
                <c:pt idx="3">
                  <c:v>45996.120111731849</c:v>
                </c:pt>
                <c:pt idx="4">
                  <c:v>45996.449720670396</c:v>
                </c:pt>
                <c:pt idx="5">
                  <c:v>45997.603351955309</c:v>
                </c:pt>
                <c:pt idx="6">
                  <c:v>45998.509776536317</c:v>
                </c:pt>
                <c:pt idx="7">
                  <c:v>45998.509776536317</c:v>
                </c:pt>
                <c:pt idx="8">
                  <c:v>46000.487430167603</c:v>
                </c:pt>
                <c:pt idx="9">
                  <c:v>46001.805865921793</c:v>
                </c:pt>
                <c:pt idx="10">
                  <c:v>46002.629888268159</c:v>
                </c:pt>
                <c:pt idx="11">
                  <c:v>46003.783519553072</c:v>
                </c:pt>
                <c:pt idx="12">
                  <c:v>46005.678770949722</c:v>
                </c:pt>
                <c:pt idx="13">
                  <c:v>46006.667597765365</c:v>
                </c:pt>
                <c:pt idx="14">
                  <c:v>46007.409217877095</c:v>
                </c:pt>
                <c:pt idx="15">
                  <c:v>46008.398044692738</c:v>
                </c:pt>
                <c:pt idx="16">
                  <c:v>46008.480446927373</c:v>
                </c:pt>
                <c:pt idx="17">
                  <c:v>46011.034916201119</c:v>
                </c:pt>
                <c:pt idx="18">
                  <c:v>46012.847765363127</c:v>
                </c:pt>
                <c:pt idx="19">
                  <c:v>46013.754189944135</c:v>
                </c:pt>
                <c:pt idx="20">
                  <c:v>46017.709497206706</c:v>
                </c:pt>
                <c:pt idx="21">
                  <c:v>46019.192737430167</c:v>
                </c:pt>
                <c:pt idx="22">
                  <c:v>46019.769553072627</c:v>
                </c:pt>
                <c:pt idx="23">
                  <c:v>46024.054469273746</c:v>
                </c:pt>
                <c:pt idx="24">
                  <c:v>46027.185754189944</c:v>
                </c:pt>
                <c:pt idx="25">
                  <c:v>46027.185754189944</c:v>
                </c:pt>
                <c:pt idx="26">
                  <c:v>46028.916201117318</c:v>
                </c:pt>
                <c:pt idx="27">
                  <c:v>46029.16340782123</c:v>
                </c:pt>
                <c:pt idx="28">
                  <c:v>46030.152234636873</c:v>
                </c:pt>
                <c:pt idx="29">
                  <c:v>46031.717877094976</c:v>
                </c:pt>
                <c:pt idx="30">
                  <c:v>46033.283519553079</c:v>
                </c:pt>
                <c:pt idx="31">
                  <c:v>46034.272346368722</c:v>
                </c:pt>
                <c:pt idx="32">
                  <c:v>46035.343575419</c:v>
                </c:pt>
                <c:pt idx="33">
                  <c:v>46036.66201117319</c:v>
                </c:pt>
                <c:pt idx="34">
                  <c:v>46041.276536312856</c:v>
                </c:pt>
                <c:pt idx="35">
                  <c:v>46045.396648044698</c:v>
                </c:pt>
                <c:pt idx="36">
                  <c:v>46047.621508379896</c:v>
                </c:pt>
                <c:pt idx="37">
                  <c:v>46050.011173184364</c:v>
                </c:pt>
                <c:pt idx="38">
                  <c:v>46051.000000000007</c:v>
                </c:pt>
                <c:pt idx="39">
                  <c:v>46051.000000000007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34</c:v>
                </c:pt>
                <c:pt idx="4">
                  <c:v>34</c:v>
                </c:pt>
                <c:pt idx="5">
                  <c:v>50</c:v>
                </c:pt>
                <c:pt idx="6">
                  <c:v>54</c:v>
                </c:pt>
                <c:pt idx="7">
                  <c:v>54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79</c:v>
                </c:pt>
                <c:pt idx="27">
                  <c:v>79</c:v>
                </c:pt>
                <c:pt idx="28">
                  <c:v>79</c:v>
                </c:pt>
                <c:pt idx="29">
                  <c:v>79</c:v>
                </c:pt>
                <c:pt idx="30">
                  <c:v>79</c:v>
                </c:pt>
                <c:pt idx="31">
                  <c:v>79</c:v>
                </c:pt>
                <c:pt idx="32">
                  <c:v>79</c:v>
                </c:pt>
                <c:pt idx="33">
                  <c:v>79</c:v>
                </c:pt>
                <c:pt idx="34">
                  <c:v>79</c:v>
                </c:pt>
                <c:pt idx="35">
                  <c:v>79</c:v>
                </c:pt>
                <c:pt idx="36">
                  <c:v>79</c:v>
                </c:pt>
                <c:pt idx="37">
                  <c:v>79</c:v>
                </c:pt>
                <c:pt idx="38">
                  <c:v>79</c:v>
                </c:pt>
                <c:pt idx="3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94536"/>
        <c:axId val="449300680"/>
      </c:lineChart>
      <c:dateAx>
        <c:axId val="13589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300680"/>
        <c:crosses val="autoZero"/>
        <c:auto val="1"/>
        <c:lblOffset val="100"/>
        <c:baseTimeUnit val="days"/>
      </c:dateAx>
      <c:valAx>
        <c:axId val="44930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9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5</xdr:col>
      <xdr:colOff>233680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315214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tabSelected="1" zoomScale="125" zoomScaleNormal="125" zoomScalePageLayoutView="125" workbookViewId="0">
      <selection activeCell="A15" sqref="A15"/>
    </sheetView>
  </sheetViews>
  <sheetFormatPr baseColWidth="10" defaultColWidth="8.83203125" defaultRowHeight="15" x14ac:dyDescent="0.2"/>
  <sheetData>
    <row r="6" spans="1:1" x14ac:dyDescent="0.2">
      <c r="A6" s="16" t="s">
        <v>17</v>
      </c>
    </row>
    <row r="7" spans="1:1" x14ac:dyDescent="0.2">
      <c r="A7" s="16"/>
    </row>
    <row r="8" spans="1:1" x14ac:dyDescent="0.2">
      <c r="A8" t="s">
        <v>104</v>
      </c>
    </row>
    <row r="9" spans="1:1" x14ac:dyDescent="0.2">
      <c r="A9" t="s">
        <v>42</v>
      </c>
    </row>
    <row r="10" spans="1:1" x14ac:dyDescent="0.2">
      <c r="A10" t="s">
        <v>41</v>
      </c>
    </row>
    <row r="12" spans="1:1" x14ac:dyDescent="0.2">
      <c r="A12" s="16" t="s">
        <v>21</v>
      </c>
    </row>
    <row r="14" spans="1:1" x14ac:dyDescent="0.2">
      <c r="A14" t="s">
        <v>105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40</v>
      </c>
    </row>
    <row r="18" spans="1:1" x14ac:dyDescent="0.2">
      <c r="A18" t="s">
        <v>38</v>
      </c>
    </row>
    <row r="19" spans="1:1" x14ac:dyDescent="0.2">
      <c r="A19" t="s">
        <v>39</v>
      </c>
    </row>
    <row r="21" spans="1:1" x14ac:dyDescent="0.2">
      <c r="A21" t="s">
        <v>20</v>
      </c>
    </row>
    <row r="22" spans="1:1" x14ac:dyDescent="0.2">
      <c r="A22" t="s">
        <v>23</v>
      </c>
    </row>
    <row r="23" spans="1:1" x14ac:dyDescent="0.2">
      <c r="A23" t="s">
        <v>24</v>
      </c>
    </row>
    <row r="24" spans="1:1" x14ac:dyDescent="0.2">
      <c r="A24" t="s">
        <v>25</v>
      </c>
    </row>
    <row r="26" spans="1:1" x14ac:dyDescent="0.2">
      <c r="A26" s="16" t="s">
        <v>22</v>
      </c>
    </row>
    <row r="27" spans="1:1" x14ac:dyDescent="0.2">
      <c r="A27" s="16"/>
    </row>
    <row r="28" spans="1:1" x14ac:dyDescent="0.2">
      <c r="A28" t="s">
        <v>26</v>
      </c>
    </row>
    <row r="29" spans="1:1" x14ac:dyDescent="0.2">
      <c r="A29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31</v>
      </c>
    </row>
    <row r="36" spans="1:1" x14ac:dyDescent="0.2">
      <c r="A36" s="16"/>
    </row>
  </sheetData>
  <phoneticPr fontId="17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60"/>
  <sheetViews>
    <sheetView showGridLines="0" zoomScaleNormal="100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7" sqref="C37"/>
    </sheetView>
  </sheetViews>
  <sheetFormatPr baseColWidth="10" defaultColWidth="8.83203125" defaultRowHeight="15" x14ac:dyDescent="0.2"/>
  <cols>
    <col min="1" max="1" width="3.5" style="1" customWidth="1"/>
    <col min="2" max="3" width="11.5" style="1" customWidth="1"/>
    <col min="4" max="4" width="54.33203125" style="1" customWidth="1"/>
    <col min="5" max="5" width="145.6640625" style="1" bestFit="1" customWidth="1"/>
    <col min="6" max="6" width="8.83203125" style="1"/>
    <col min="7" max="7" width="14.5" style="1" customWidth="1"/>
    <col min="8" max="10" width="8.6640625" style="1" bestFit="1" customWidth="1"/>
    <col min="11" max="13" width="8.83203125" style="1"/>
    <col min="14" max="14" width="10.83203125" style="1" customWidth="1"/>
    <col min="15" max="15" width="12.1640625" style="1" customWidth="1"/>
    <col min="16" max="16384" width="8.83203125" style="1"/>
  </cols>
  <sheetData>
    <row r="1" spans="1:15" ht="23" customHeight="1" x14ac:dyDescent="0.3">
      <c r="D1" s="2">
        <v>45992</v>
      </c>
      <c r="M1" s="58" t="s">
        <v>1</v>
      </c>
      <c r="N1" s="59"/>
      <c r="O1" s="3">
        <f>O3/O2</f>
        <v>0.11033519553072625</v>
      </c>
    </row>
    <row r="2" spans="1:15" x14ac:dyDescent="0.2">
      <c r="M2" s="1" t="s">
        <v>2</v>
      </c>
      <c r="O2" s="4">
        <f>SUM(F6:F45)</f>
        <v>716</v>
      </c>
    </row>
    <row r="3" spans="1:15" x14ac:dyDescent="0.2">
      <c r="M3" s="1" t="s">
        <v>3</v>
      </c>
      <c r="O3" s="4">
        <f>SUMIF(G6:G45,"Yes",F6:F45)</f>
        <v>79</v>
      </c>
    </row>
    <row r="4" spans="1:15" x14ac:dyDescent="0.2">
      <c r="F4" s="12" t="s">
        <v>47</v>
      </c>
    </row>
    <row r="5" spans="1:15" ht="32" x14ac:dyDescent="0.2">
      <c r="A5" s="5"/>
      <c r="B5" s="6" t="s">
        <v>12</v>
      </c>
      <c r="C5" s="7" t="s">
        <v>4</v>
      </c>
      <c r="D5" s="6" t="s">
        <v>10</v>
      </c>
      <c r="E5" s="6" t="s">
        <v>9</v>
      </c>
      <c r="F5" s="6" t="s">
        <v>0</v>
      </c>
      <c r="G5" s="6" t="s">
        <v>5</v>
      </c>
      <c r="H5" s="8" t="s">
        <v>6</v>
      </c>
      <c r="I5" s="9" t="s">
        <v>7</v>
      </c>
      <c r="J5" s="10" t="s">
        <v>8</v>
      </c>
      <c r="K5" s="31" t="s">
        <v>54</v>
      </c>
    </row>
    <row r="6" spans="1:15" x14ac:dyDescent="0.2">
      <c r="A6" s="11"/>
      <c r="B6" s="17">
        <f>StartDate+VLOOKUP(E6,DayLookUp,4,FALSE)</f>
        <v>45992.906424581008</v>
      </c>
      <c r="C6" s="18">
        <v>45994</v>
      </c>
      <c r="D6" s="1" t="s">
        <v>91</v>
      </c>
      <c r="E6" t="s">
        <v>62</v>
      </c>
      <c r="F6">
        <f>VLOOKUP(E6,info!E:F,2,FALSE)</f>
        <v>11</v>
      </c>
      <c r="G6" s="12" t="s">
        <v>46</v>
      </c>
      <c r="H6" s="13">
        <f>SUM($F$6:F6)</f>
        <v>11</v>
      </c>
      <c r="I6" s="14">
        <f>SUMIFS(PgCnt,CompFlag,"Yes",ActFDate,"&lt;="&amp;B6)</f>
        <v>0</v>
      </c>
      <c r="J6" s="15">
        <f t="shared" ref="J6:J45" si="0">I6/H6</f>
        <v>0</v>
      </c>
      <c r="K6" s="32" t="s">
        <v>56</v>
      </c>
    </row>
    <row r="7" spans="1:15" ht="16" customHeight="1" x14ac:dyDescent="0.2">
      <c r="A7" s="11"/>
      <c r="B7" s="17">
        <f t="shared" ref="B7:B45" si="1">B6+VLOOKUP(E7,DayLookUp,4,FALSE)</f>
        <v>45994.472067039111</v>
      </c>
      <c r="C7" s="18">
        <f>C6+1</f>
        <v>45995</v>
      </c>
      <c r="D7" s="1" t="s">
        <v>91</v>
      </c>
      <c r="E7" t="s">
        <v>63</v>
      </c>
      <c r="F7">
        <f>VLOOKUP(E7,info!E:F,2,FALSE)</f>
        <v>19</v>
      </c>
      <c r="G7" s="12" t="s">
        <v>46</v>
      </c>
      <c r="H7" s="13">
        <f>SUM($F$6:F7)</f>
        <v>30</v>
      </c>
      <c r="I7" s="14">
        <f t="shared" ref="I7:I12" si="2">SUMIFS(PgCnt,CompFlag,"Yes",ActFDate,"&lt;="&amp;B7)</f>
        <v>11</v>
      </c>
      <c r="J7" s="15">
        <f t="shared" ref="J7:J12" si="3">I7/H7</f>
        <v>0.36666666666666664</v>
      </c>
      <c r="K7" s="32" t="s">
        <v>56</v>
      </c>
    </row>
    <row r="8" spans="1:15" ht="16" customHeight="1" x14ac:dyDescent="0.2">
      <c r="A8" s="11"/>
      <c r="B8" s="17">
        <f t="shared" si="1"/>
        <v>45994.801675977658</v>
      </c>
      <c r="C8" s="18">
        <f t="shared" ref="C8:C12" si="4">C7+1</f>
        <v>45996</v>
      </c>
      <c r="D8" s="1" t="s">
        <v>91</v>
      </c>
      <c r="E8" t="s">
        <v>64</v>
      </c>
      <c r="F8">
        <f>VLOOKUP(E8,info!E:F,2,FALSE)</f>
        <v>4</v>
      </c>
      <c r="G8" s="12" t="s">
        <v>46</v>
      </c>
      <c r="H8" s="13">
        <f>SUM($F$6:F8)</f>
        <v>34</v>
      </c>
      <c r="I8" s="14">
        <f t="shared" si="2"/>
        <v>11</v>
      </c>
      <c r="J8" s="15">
        <f t="shared" si="3"/>
        <v>0.3235294117647059</v>
      </c>
      <c r="K8" s="32" t="s">
        <v>56</v>
      </c>
    </row>
    <row r="9" spans="1:15" ht="16" customHeight="1" x14ac:dyDescent="0.2">
      <c r="A9" s="11"/>
      <c r="B9" s="17">
        <f t="shared" si="1"/>
        <v>45996.120111731849</v>
      </c>
      <c r="C9" s="18">
        <f t="shared" si="4"/>
        <v>45997</v>
      </c>
      <c r="D9" s="1" t="s">
        <v>91</v>
      </c>
      <c r="E9" t="s">
        <v>65</v>
      </c>
      <c r="F9">
        <f>VLOOKUP(E9,info!E:F,2,FALSE)</f>
        <v>16</v>
      </c>
      <c r="G9" s="12" t="s">
        <v>46</v>
      </c>
      <c r="H9" s="13">
        <f>SUM($F$6:F9)</f>
        <v>50</v>
      </c>
      <c r="I9" s="14">
        <f>SUMIFS(PgCnt,CompFlag,"Yes",ActFDate,"&lt;="&amp;B9)</f>
        <v>34</v>
      </c>
      <c r="J9" s="15">
        <f t="shared" si="3"/>
        <v>0.68</v>
      </c>
      <c r="K9" s="32" t="s">
        <v>56</v>
      </c>
    </row>
    <row r="10" spans="1:15" ht="16" customHeight="1" x14ac:dyDescent="0.2">
      <c r="A10" s="11"/>
      <c r="B10" s="17">
        <f t="shared" si="1"/>
        <v>45996.449720670396</v>
      </c>
      <c r="C10" s="18">
        <f t="shared" si="4"/>
        <v>45998</v>
      </c>
      <c r="D10" s="1" t="s">
        <v>91</v>
      </c>
      <c r="E10" t="s">
        <v>66</v>
      </c>
      <c r="F10">
        <f>VLOOKUP(E10,info!E:F,2,FALSE)</f>
        <v>4</v>
      </c>
      <c r="G10" s="12" t="s">
        <v>46</v>
      </c>
      <c r="H10" s="13">
        <f>SUM($F$6:F10)</f>
        <v>54</v>
      </c>
      <c r="I10" s="14">
        <f t="shared" si="2"/>
        <v>34</v>
      </c>
      <c r="J10" s="15">
        <f>I10/H10</f>
        <v>0.62962962962962965</v>
      </c>
      <c r="K10" s="32" t="s">
        <v>55</v>
      </c>
    </row>
    <row r="11" spans="1:15" ht="16" customHeight="1" x14ac:dyDescent="0.2">
      <c r="A11" s="11"/>
      <c r="B11" s="17">
        <f t="shared" si="1"/>
        <v>45997.603351955309</v>
      </c>
      <c r="C11" s="18">
        <f t="shared" si="4"/>
        <v>45999</v>
      </c>
      <c r="D11" s="1" t="s">
        <v>91</v>
      </c>
      <c r="E11" t="s">
        <v>67</v>
      </c>
      <c r="F11">
        <f>VLOOKUP(E11,info!E:F,2,FALSE)</f>
        <v>14</v>
      </c>
      <c r="G11" s="12" t="s">
        <v>46</v>
      </c>
      <c r="H11" s="13">
        <f>SUM($F$6:F11)</f>
        <v>68</v>
      </c>
      <c r="I11" s="14">
        <f>SUMIFS(PgCnt,CompFlag,"Yes",ActFDate,"&lt;="&amp;B11)</f>
        <v>50</v>
      </c>
      <c r="J11" s="15">
        <f t="shared" si="3"/>
        <v>0.73529411764705888</v>
      </c>
      <c r="K11" s="32" t="s">
        <v>56</v>
      </c>
    </row>
    <row r="12" spans="1:15" ht="16" customHeight="1" x14ac:dyDescent="0.2">
      <c r="A12" s="11"/>
      <c r="B12" s="17">
        <f t="shared" si="1"/>
        <v>45998.509776536317</v>
      </c>
      <c r="C12" s="18">
        <f t="shared" si="4"/>
        <v>46000</v>
      </c>
      <c r="D12" s="1" t="s">
        <v>91</v>
      </c>
      <c r="E12" t="s">
        <v>68</v>
      </c>
      <c r="F12">
        <f>VLOOKUP(E12,info!E:F,2,FALSE)</f>
        <v>11</v>
      </c>
      <c r="G12" s="12" t="s">
        <v>46</v>
      </c>
      <c r="H12" s="13">
        <f>SUM($F$6:F12)</f>
        <v>79</v>
      </c>
      <c r="I12" s="14">
        <f t="shared" si="2"/>
        <v>54</v>
      </c>
      <c r="J12" s="15">
        <f t="shared" si="3"/>
        <v>0.68354430379746833</v>
      </c>
      <c r="K12" s="32" t="s">
        <v>55</v>
      </c>
    </row>
    <row r="13" spans="1:15" ht="16" customHeight="1" x14ac:dyDescent="0.2">
      <c r="A13" s="37"/>
      <c r="B13" s="38">
        <f t="shared" si="1"/>
        <v>45998.509776536317</v>
      </c>
      <c r="C13" s="39"/>
      <c r="D13" s="40"/>
      <c r="E13" s="41" t="s">
        <v>51</v>
      </c>
      <c r="F13" s="42"/>
      <c r="G13" s="43"/>
      <c r="H13" s="44">
        <f>SUM($F$6:F13)</f>
        <v>79</v>
      </c>
      <c r="I13" s="45">
        <f t="shared" ref="I13:I45" si="5">SUMIFS(PgCnt,CompFlag,"Yes",ActFDate,"&lt;="&amp;B13)</f>
        <v>54</v>
      </c>
      <c r="J13" s="46">
        <f t="shared" si="0"/>
        <v>0.68354430379746833</v>
      </c>
      <c r="K13" s="32"/>
    </row>
    <row r="14" spans="1:15" ht="16" customHeight="1" x14ac:dyDescent="0.2">
      <c r="A14" s="11"/>
      <c r="B14" s="17">
        <f t="shared" si="1"/>
        <v>46000.487430167603</v>
      </c>
      <c r="C14" s="18"/>
      <c r="D14" s="1" t="s">
        <v>92</v>
      </c>
      <c r="E14" t="s">
        <v>69</v>
      </c>
      <c r="F14">
        <f>VLOOKUP(E14,info!E:F,2,FALSE)</f>
        <v>24</v>
      </c>
      <c r="G14" s="12"/>
      <c r="H14" s="13">
        <f>SUM($F$6:F14)</f>
        <v>103</v>
      </c>
      <c r="I14" s="14">
        <f t="shared" ref="I14" si="6">SUMIFS(PgCnt,CompFlag,"Yes",ActFDate,"&lt;="&amp;B14)</f>
        <v>79</v>
      </c>
      <c r="J14" s="15">
        <f t="shared" ref="J14" si="7">I14/H14</f>
        <v>0.76699029126213591</v>
      </c>
      <c r="K14" s="32" t="s">
        <v>56</v>
      </c>
    </row>
    <row r="15" spans="1:15" ht="16" customHeight="1" x14ac:dyDescent="0.2">
      <c r="A15" s="11"/>
      <c r="B15" s="17">
        <f t="shared" si="1"/>
        <v>46001.805865921793</v>
      </c>
      <c r="C15" s="18"/>
      <c r="D15" s="1" t="s">
        <v>92</v>
      </c>
      <c r="E15" t="s">
        <v>70</v>
      </c>
      <c r="F15">
        <f>VLOOKUP(E15,info!E:F,2,FALSE)</f>
        <v>16</v>
      </c>
      <c r="G15" s="12"/>
      <c r="H15" s="13">
        <f>SUM($F$6:F15)</f>
        <v>119</v>
      </c>
      <c r="I15" s="14">
        <f t="shared" ref="I15:I30" si="8">SUMIFS(PgCnt,CompFlag,"Yes",ActFDate,"&lt;="&amp;B15)</f>
        <v>79</v>
      </c>
      <c r="J15" s="15">
        <f t="shared" ref="J15:J30" si="9">I15/H15</f>
        <v>0.66386554621848737</v>
      </c>
      <c r="K15" s="32" t="s">
        <v>56</v>
      </c>
    </row>
    <row r="16" spans="1:15" ht="16" customHeight="1" x14ac:dyDescent="0.2">
      <c r="A16" s="11"/>
      <c r="B16" s="17">
        <f t="shared" si="1"/>
        <v>46002.629888268159</v>
      </c>
      <c r="C16" s="18"/>
      <c r="D16" s="1" t="s">
        <v>92</v>
      </c>
      <c r="E16" t="s">
        <v>71</v>
      </c>
      <c r="F16">
        <f>VLOOKUP(E16,info!E:F,2,FALSE)</f>
        <v>10</v>
      </c>
      <c r="G16" s="12"/>
      <c r="H16" s="13">
        <f>SUM($F$6:F16)</f>
        <v>129</v>
      </c>
      <c r="I16" s="14">
        <f t="shared" si="8"/>
        <v>79</v>
      </c>
      <c r="J16" s="15">
        <f t="shared" si="9"/>
        <v>0.61240310077519378</v>
      </c>
      <c r="K16" s="32" t="s">
        <v>56</v>
      </c>
    </row>
    <row r="17" spans="1:11" ht="16" customHeight="1" x14ac:dyDescent="0.2">
      <c r="A17" s="11"/>
      <c r="B17" s="17">
        <f t="shared" si="1"/>
        <v>46003.783519553072</v>
      </c>
      <c r="C17" s="18"/>
      <c r="D17" s="1" t="s">
        <v>92</v>
      </c>
      <c r="E17" t="s">
        <v>72</v>
      </c>
      <c r="F17">
        <f>VLOOKUP(E17,info!E:F,2,FALSE)</f>
        <v>14</v>
      </c>
      <c r="G17" s="12"/>
      <c r="H17" s="13">
        <f>SUM($F$6:F17)</f>
        <v>143</v>
      </c>
      <c r="I17" s="14">
        <f t="shared" si="8"/>
        <v>79</v>
      </c>
      <c r="J17" s="15">
        <f t="shared" si="9"/>
        <v>0.55244755244755239</v>
      </c>
      <c r="K17" s="32" t="s">
        <v>56</v>
      </c>
    </row>
    <row r="18" spans="1:11" ht="16" customHeight="1" x14ac:dyDescent="0.2">
      <c r="A18" s="11"/>
      <c r="B18" s="17">
        <f t="shared" si="1"/>
        <v>46005.678770949722</v>
      </c>
      <c r="C18" s="18"/>
      <c r="D18" s="1" t="s">
        <v>92</v>
      </c>
      <c r="E18" t="s">
        <v>73</v>
      </c>
      <c r="F18">
        <f>VLOOKUP(E18,info!E:F,2,FALSE)</f>
        <v>23</v>
      </c>
      <c r="G18" s="12"/>
      <c r="H18" s="13">
        <f>SUM($F$6:F18)</f>
        <v>166</v>
      </c>
      <c r="I18" s="14">
        <f t="shared" si="8"/>
        <v>79</v>
      </c>
      <c r="J18" s="15">
        <f t="shared" si="9"/>
        <v>0.4759036144578313</v>
      </c>
      <c r="K18" s="32" t="s">
        <v>56</v>
      </c>
    </row>
    <row r="19" spans="1:11" ht="16" customHeight="1" x14ac:dyDescent="0.2">
      <c r="A19" s="11"/>
      <c r="B19" s="17">
        <f t="shared" si="1"/>
        <v>46006.667597765365</v>
      </c>
      <c r="C19" s="18"/>
      <c r="D19" s="1" t="s">
        <v>92</v>
      </c>
      <c r="E19" t="s">
        <v>74</v>
      </c>
      <c r="F19">
        <f>VLOOKUP(E19,info!E:F,2,FALSE)</f>
        <v>12</v>
      </c>
      <c r="G19" s="12"/>
      <c r="H19" s="13">
        <f>SUM($F$6:F19)</f>
        <v>178</v>
      </c>
      <c r="I19" s="14">
        <f t="shared" si="8"/>
        <v>79</v>
      </c>
      <c r="J19" s="15">
        <f t="shared" si="9"/>
        <v>0.4438202247191011</v>
      </c>
      <c r="K19" s="32" t="s">
        <v>56</v>
      </c>
    </row>
    <row r="20" spans="1:11" ht="16" customHeight="1" x14ac:dyDescent="0.2">
      <c r="A20" s="11"/>
      <c r="B20" s="17">
        <f t="shared" si="1"/>
        <v>46007.409217877095</v>
      </c>
      <c r="C20" s="18"/>
      <c r="D20" s="1" t="s">
        <v>92</v>
      </c>
      <c r="E20" s="34" t="s">
        <v>75</v>
      </c>
      <c r="F20">
        <f>VLOOKUP(E20,info!E:F,2,FALSE)</f>
        <v>9</v>
      </c>
      <c r="G20" s="12"/>
      <c r="H20" s="13">
        <f>SUM($F$6:F20)</f>
        <v>187</v>
      </c>
      <c r="I20" s="14">
        <f t="shared" si="8"/>
        <v>79</v>
      </c>
      <c r="J20" s="15">
        <f t="shared" si="9"/>
        <v>0.42245989304812837</v>
      </c>
      <c r="K20" s="32" t="s">
        <v>56</v>
      </c>
    </row>
    <row r="21" spans="1:11" ht="16" customHeight="1" x14ac:dyDescent="0.2">
      <c r="A21" s="11"/>
      <c r="B21" s="17">
        <f t="shared" si="1"/>
        <v>46008.398044692738</v>
      </c>
      <c r="C21" s="18"/>
      <c r="D21" s="1" t="s">
        <v>92</v>
      </c>
      <c r="E21" s="34" t="s">
        <v>76</v>
      </c>
      <c r="F21">
        <f>VLOOKUP(E21,info!E:F,2,FALSE)</f>
        <v>12</v>
      </c>
      <c r="G21" s="12"/>
      <c r="H21" s="13">
        <f>SUM($F$6:F21)</f>
        <v>199</v>
      </c>
      <c r="I21" s="14">
        <f t="shared" si="8"/>
        <v>79</v>
      </c>
      <c r="J21" s="15">
        <f t="shared" si="9"/>
        <v>0.39698492462311558</v>
      </c>
      <c r="K21" s="32" t="s">
        <v>56</v>
      </c>
    </row>
    <row r="22" spans="1:11" ht="16" customHeight="1" x14ac:dyDescent="0.2">
      <c r="A22" s="11"/>
      <c r="B22" s="17">
        <f t="shared" si="1"/>
        <v>46008.480446927373</v>
      </c>
      <c r="C22" s="18"/>
      <c r="D22" s="1" t="s">
        <v>92</v>
      </c>
      <c r="E22" s="34" t="s">
        <v>77</v>
      </c>
      <c r="F22">
        <f>VLOOKUP(E22,info!E:F,2,FALSE)</f>
        <v>1</v>
      </c>
      <c r="G22" s="12"/>
      <c r="H22" s="13">
        <f>SUM($F$6:F22)</f>
        <v>200</v>
      </c>
      <c r="I22" s="14">
        <f t="shared" si="8"/>
        <v>79</v>
      </c>
      <c r="J22" s="15">
        <f t="shared" si="9"/>
        <v>0.39500000000000002</v>
      </c>
      <c r="K22" s="32" t="s">
        <v>56</v>
      </c>
    </row>
    <row r="23" spans="1:11" ht="16" customHeight="1" x14ac:dyDescent="0.2">
      <c r="A23" s="11"/>
      <c r="B23" s="17">
        <f t="shared" si="1"/>
        <v>46011.034916201119</v>
      </c>
      <c r="C23" s="18"/>
      <c r="D23" s="1" t="s">
        <v>92</v>
      </c>
      <c r="E23" s="34" t="s">
        <v>100</v>
      </c>
      <c r="F23">
        <f>VLOOKUP(E23,info!E:F,2,FALSE)</f>
        <v>31</v>
      </c>
      <c r="G23" s="12"/>
      <c r="H23" s="13">
        <f>SUM($F$6:F23)</f>
        <v>231</v>
      </c>
      <c r="I23" s="14">
        <f t="shared" si="8"/>
        <v>79</v>
      </c>
      <c r="J23" s="15">
        <f t="shared" si="9"/>
        <v>0.34199134199134201</v>
      </c>
      <c r="K23" s="32" t="s">
        <v>55</v>
      </c>
    </row>
    <row r="24" spans="1:11" ht="16" customHeight="1" x14ac:dyDescent="0.2">
      <c r="A24" s="11"/>
      <c r="B24" s="17">
        <f t="shared" si="1"/>
        <v>46012.847765363127</v>
      </c>
      <c r="C24" s="18"/>
      <c r="D24" s="1" t="s">
        <v>92</v>
      </c>
      <c r="E24" t="s">
        <v>98</v>
      </c>
      <c r="F24">
        <f>VLOOKUP(E24,info!E:F,2,FALSE)</f>
        <v>22</v>
      </c>
      <c r="G24" s="12"/>
      <c r="H24" s="13">
        <f>SUM($F$6:F24)</f>
        <v>253</v>
      </c>
      <c r="I24" s="14">
        <f t="shared" si="8"/>
        <v>79</v>
      </c>
      <c r="J24" s="15">
        <f t="shared" si="9"/>
        <v>0.31225296442687744</v>
      </c>
      <c r="K24" s="32" t="s">
        <v>56</v>
      </c>
    </row>
    <row r="25" spans="1:11" ht="16" customHeight="1" x14ac:dyDescent="0.2">
      <c r="A25" s="11"/>
      <c r="B25" s="17">
        <f t="shared" si="1"/>
        <v>46013.754189944135</v>
      </c>
      <c r="C25" s="18"/>
      <c r="D25" s="1" t="s">
        <v>92</v>
      </c>
      <c r="E25" s="34" t="s">
        <v>99</v>
      </c>
      <c r="F25">
        <f>VLOOKUP(E25,info!E:F,2,FALSE)</f>
        <v>11</v>
      </c>
      <c r="G25" s="12"/>
      <c r="H25" s="13">
        <f>SUM($F$6:F25)</f>
        <v>264</v>
      </c>
      <c r="I25" s="14">
        <f t="shared" si="8"/>
        <v>79</v>
      </c>
      <c r="J25" s="15">
        <f t="shared" si="9"/>
        <v>0.29924242424242425</v>
      </c>
      <c r="K25" s="32" t="s">
        <v>56</v>
      </c>
    </row>
    <row r="26" spans="1:11" ht="16" customHeight="1" x14ac:dyDescent="0.2">
      <c r="A26" s="11"/>
      <c r="B26" s="17">
        <f t="shared" si="1"/>
        <v>46017.709497206706</v>
      </c>
      <c r="C26" s="18"/>
      <c r="D26" s="1" t="s">
        <v>92</v>
      </c>
      <c r="E26" t="s">
        <v>78</v>
      </c>
      <c r="F26">
        <f>VLOOKUP(E26,info!E:F,2,FALSE)</f>
        <v>48</v>
      </c>
      <c r="G26" s="12"/>
      <c r="H26" s="13">
        <f>SUM($F$6:F26)</f>
        <v>312</v>
      </c>
      <c r="I26" s="14">
        <f t="shared" si="8"/>
        <v>79</v>
      </c>
      <c r="J26" s="15">
        <f t="shared" si="9"/>
        <v>0.25320512820512819</v>
      </c>
      <c r="K26" s="32" t="s">
        <v>55</v>
      </c>
    </row>
    <row r="27" spans="1:11" ht="16" customHeight="1" x14ac:dyDescent="0.2">
      <c r="A27" s="11"/>
      <c r="B27" s="17">
        <f t="shared" si="1"/>
        <v>46019.192737430167</v>
      </c>
      <c r="C27" s="18"/>
      <c r="D27" s="1" t="s">
        <v>92</v>
      </c>
      <c r="E27" t="s">
        <v>79</v>
      </c>
      <c r="F27">
        <f>VLOOKUP(E27,info!E:F,2,FALSE)</f>
        <v>18</v>
      </c>
      <c r="G27" s="12"/>
      <c r="H27" s="13">
        <f>SUM($F$6:F27)</f>
        <v>330</v>
      </c>
      <c r="I27" s="14">
        <f t="shared" si="8"/>
        <v>79</v>
      </c>
      <c r="J27" s="15">
        <f t="shared" si="9"/>
        <v>0.23939393939393938</v>
      </c>
      <c r="K27" s="32" t="s">
        <v>55</v>
      </c>
    </row>
    <row r="28" spans="1:11" ht="16" customHeight="1" x14ac:dyDescent="0.2">
      <c r="A28" s="11"/>
      <c r="B28" s="17">
        <f t="shared" si="1"/>
        <v>46019.769553072627</v>
      </c>
      <c r="C28" s="18"/>
      <c r="D28" s="1" t="s">
        <v>92</v>
      </c>
      <c r="E28" t="s">
        <v>80</v>
      </c>
      <c r="F28">
        <f>VLOOKUP(E28,info!E:F,2,FALSE)</f>
        <v>7</v>
      </c>
      <c r="G28" s="12"/>
      <c r="H28" s="13">
        <f>SUM($F$6:F28)</f>
        <v>337</v>
      </c>
      <c r="I28" s="14">
        <f t="shared" si="8"/>
        <v>79</v>
      </c>
      <c r="J28" s="15">
        <f t="shared" si="9"/>
        <v>0.23442136498516319</v>
      </c>
      <c r="K28" s="32" t="s">
        <v>55</v>
      </c>
    </row>
    <row r="29" spans="1:11" ht="16" customHeight="1" x14ac:dyDescent="0.2">
      <c r="A29" s="11"/>
      <c r="B29" s="17">
        <f t="shared" si="1"/>
        <v>46024.054469273746</v>
      </c>
      <c r="C29" s="18"/>
      <c r="D29" s="1" t="s">
        <v>92</v>
      </c>
      <c r="E29" t="s">
        <v>81</v>
      </c>
      <c r="F29">
        <f>VLOOKUP(E29,info!E:F,2,FALSE)</f>
        <v>52</v>
      </c>
      <c r="G29" s="12"/>
      <c r="H29" s="13">
        <f>SUM($F$6:F29)</f>
        <v>389</v>
      </c>
      <c r="I29" s="14">
        <f t="shared" si="8"/>
        <v>79</v>
      </c>
      <c r="J29" s="15">
        <f t="shared" si="9"/>
        <v>0.20308483290488433</v>
      </c>
      <c r="K29" s="32" t="s">
        <v>56</v>
      </c>
    </row>
    <row r="30" spans="1:11" ht="16" customHeight="1" x14ac:dyDescent="0.2">
      <c r="A30" s="11"/>
      <c r="B30" s="17">
        <f t="shared" si="1"/>
        <v>46027.185754189944</v>
      </c>
      <c r="C30" s="18"/>
      <c r="D30" s="1" t="s">
        <v>92</v>
      </c>
      <c r="E30" s="36" t="s">
        <v>61</v>
      </c>
      <c r="F30">
        <f>VLOOKUP(E30,info!E:F,2,FALSE)</f>
        <v>38</v>
      </c>
      <c r="G30" s="12"/>
      <c r="H30" s="13">
        <f>SUM($F$6:F30)</f>
        <v>427</v>
      </c>
      <c r="I30" s="14">
        <f t="shared" si="8"/>
        <v>79</v>
      </c>
      <c r="J30" s="15">
        <f t="shared" si="9"/>
        <v>0.18501170960187355</v>
      </c>
      <c r="K30" s="32" t="s">
        <v>55</v>
      </c>
    </row>
    <row r="31" spans="1:11" ht="16" customHeight="1" x14ac:dyDescent="0.2">
      <c r="A31" s="37"/>
      <c r="B31" s="38">
        <f t="shared" si="1"/>
        <v>46027.185754189944</v>
      </c>
      <c r="C31" s="39"/>
      <c r="D31" s="40"/>
      <c r="E31" s="41" t="s">
        <v>43</v>
      </c>
      <c r="F31" s="42"/>
      <c r="G31" s="43"/>
      <c r="H31" s="44">
        <f>SUM($F$6:F31)</f>
        <v>427</v>
      </c>
      <c r="I31" s="45">
        <f t="shared" si="5"/>
        <v>79</v>
      </c>
      <c r="J31" s="46">
        <f t="shared" si="0"/>
        <v>0.18501170960187355</v>
      </c>
      <c r="K31" s="32"/>
    </row>
    <row r="32" spans="1:11" ht="16" customHeight="1" x14ac:dyDescent="0.2">
      <c r="A32" s="11"/>
      <c r="B32" s="17">
        <f t="shared" si="1"/>
        <v>46028.916201117318</v>
      </c>
      <c r="C32" s="18"/>
      <c r="D32" s="1" t="s">
        <v>93</v>
      </c>
      <c r="E32" t="s">
        <v>82</v>
      </c>
      <c r="F32">
        <f>VLOOKUP(E32,info!E:F,2,FALSE)</f>
        <v>21</v>
      </c>
      <c r="G32" s="12"/>
      <c r="H32" s="13">
        <f>SUM($F$6:F32)</f>
        <v>448</v>
      </c>
      <c r="I32" s="14">
        <f t="shared" ref="I32:I44" si="10">SUMIFS(PgCnt,CompFlag,"Yes",ActFDate,"&lt;="&amp;B32)</f>
        <v>79</v>
      </c>
      <c r="J32" s="15">
        <f t="shared" ref="J32:J44" si="11">I32/H32</f>
        <v>0.17633928571428573</v>
      </c>
      <c r="K32" s="32" t="s">
        <v>55</v>
      </c>
    </row>
    <row r="33" spans="1:11" ht="16" customHeight="1" x14ac:dyDescent="0.2">
      <c r="A33" s="11"/>
      <c r="B33" s="17">
        <f t="shared" si="1"/>
        <v>46029.16340782123</v>
      </c>
      <c r="C33" s="18"/>
      <c r="D33" s="1" t="s">
        <v>93</v>
      </c>
      <c r="E33" t="s">
        <v>83</v>
      </c>
      <c r="F33">
        <f>VLOOKUP(E33,info!E:F,2,FALSE)</f>
        <v>3</v>
      </c>
      <c r="G33" s="12"/>
      <c r="H33" s="13">
        <f>SUM($F$6:F33)</f>
        <v>451</v>
      </c>
      <c r="I33" s="14">
        <f t="shared" si="10"/>
        <v>79</v>
      </c>
      <c r="J33" s="15">
        <f t="shared" si="11"/>
        <v>0.17516629711751663</v>
      </c>
      <c r="K33" s="32" t="s">
        <v>56</v>
      </c>
    </row>
    <row r="34" spans="1:11" ht="16" customHeight="1" x14ac:dyDescent="0.2">
      <c r="A34" s="11"/>
      <c r="B34" s="17">
        <f t="shared" si="1"/>
        <v>46030.152234636873</v>
      </c>
      <c r="C34" s="18"/>
      <c r="D34" s="1" t="s">
        <v>93</v>
      </c>
      <c r="E34" t="s">
        <v>84</v>
      </c>
      <c r="F34">
        <f>VLOOKUP(E34,info!E:F,2,FALSE)</f>
        <v>12</v>
      </c>
      <c r="G34" s="12"/>
      <c r="H34" s="13">
        <f>SUM($F$6:F34)</f>
        <v>463</v>
      </c>
      <c r="I34" s="14">
        <f t="shared" si="10"/>
        <v>79</v>
      </c>
      <c r="J34" s="15">
        <f t="shared" si="11"/>
        <v>0.17062634989200864</v>
      </c>
      <c r="K34" s="32" t="s">
        <v>56</v>
      </c>
    </row>
    <row r="35" spans="1:11" ht="16" customHeight="1" x14ac:dyDescent="0.2">
      <c r="A35" s="11"/>
      <c r="B35" s="17">
        <f t="shared" si="1"/>
        <v>46031.717877094976</v>
      </c>
      <c r="C35" s="18"/>
      <c r="D35" s="1" t="s">
        <v>93</v>
      </c>
      <c r="E35" t="s">
        <v>94</v>
      </c>
      <c r="F35">
        <f>VLOOKUP(E35,info!E:F,2,FALSE)</f>
        <v>19</v>
      </c>
      <c r="G35" s="12"/>
      <c r="H35" s="13">
        <f>SUM($F$6:F35)</f>
        <v>482</v>
      </c>
      <c r="I35" s="14">
        <f t="shared" si="10"/>
        <v>79</v>
      </c>
      <c r="J35" s="15">
        <f t="shared" si="11"/>
        <v>0.16390041493775934</v>
      </c>
      <c r="K35" s="32" t="s">
        <v>56</v>
      </c>
    </row>
    <row r="36" spans="1:11" ht="16" customHeight="1" x14ac:dyDescent="0.2">
      <c r="A36" s="11"/>
      <c r="B36" s="17">
        <f t="shared" si="1"/>
        <v>46033.283519553079</v>
      </c>
      <c r="C36" s="18"/>
      <c r="D36" s="1" t="s">
        <v>93</v>
      </c>
      <c r="E36" t="s">
        <v>95</v>
      </c>
      <c r="F36">
        <f>VLOOKUP(E36,info!E:F,2,FALSE)</f>
        <v>19</v>
      </c>
      <c r="G36" s="12"/>
      <c r="H36" s="13">
        <f>SUM($F$6:F36)</f>
        <v>501</v>
      </c>
      <c r="I36" s="14">
        <f t="shared" si="10"/>
        <v>79</v>
      </c>
      <c r="J36" s="15">
        <f t="shared" si="11"/>
        <v>0.15768463073852296</v>
      </c>
      <c r="K36" s="32" t="s">
        <v>56</v>
      </c>
    </row>
    <row r="37" spans="1:11" ht="16" customHeight="1" x14ac:dyDescent="0.2">
      <c r="A37" s="11"/>
      <c r="B37" s="17">
        <f t="shared" si="1"/>
        <v>46034.272346368722</v>
      </c>
      <c r="C37" s="18"/>
      <c r="D37" s="1" t="s">
        <v>93</v>
      </c>
      <c r="E37" t="s">
        <v>96</v>
      </c>
      <c r="F37">
        <f>VLOOKUP(E37,info!E:F,2,FALSE)</f>
        <v>12</v>
      </c>
      <c r="G37" s="12"/>
      <c r="H37" s="13">
        <f>SUM($F$6:F37)</f>
        <v>513</v>
      </c>
      <c r="I37" s="14">
        <f t="shared" si="10"/>
        <v>79</v>
      </c>
      <c r="J37" s="15">
        <f t="shared" si="11"/>
        <v>0.15399610136452241</v>
      </c>
      <c r="K37" s="32" t="s">
        <v>56</v>
      </c>
    </row>
    <row r="38" spans="1:11" ht="16" customHeight="1" x14ac:dyDescent="0.2">
      <c r="A38" s="11"/>
      <c r="B38" s="17">
        <f t="shared" si="1"/>
        <v>46035.343575419</v>
      </c>
      <c r="C38" s="18"/>
      <c r="D38" s="1" t="s">
        <v>93</v>
      </c>
      <c r="E38" t="s">
        <v>97</v>
      </c>
      <c r="F38">
        <f>VLOOKUP(E38,info!E:F,2,FALSE)</f>
        <v>13</v>
      </c>
      <c r="G38" s="12"/>
      <c r="H38" s="13">
        <f>SUM($F$6:F38)</f>
        <v>526</v>
      </c>
      <c r="I38" s="14">
        <f t="shared" si="10"/>
        <v>79</v>
      </c>
      <c r="J38" s="15">
        <f t="shared" si="11"/>
        <v>0.15019011406844107</v>
      </c>
      <c r="K38" s="32" t="s">
        <v>56</v>
      </c>
    </row>
    <row r="39" spans="1:11" ht="16" customHeight="1" x14ac:dyDescent="0.2">
      <c r="A39" s="11"/>
      <c r="B39" s="17">
        <f t="shared" si="1"/>
        <v>46036.66201117319</v>
      </c>
      <c r="C39" s="18"/>
      <c r="D39" s="1" t="s">
        <v>93</v>
      </c>
      <c r="E39" t="s">
        <v>85</v>
      </c>
      <c r="F39">
        <f>VLOOKUP(E39,info!E:F,2,FALSE)</f>
        <v>16</v>
      </c>
      <c r="G39" s="12"/>
      <c r="H39" s="13">
        <f>SUM($F$6:F39)</f>
        <v>542</v>
      </c>
      <c r="I39" s="14">
        <f t="shared" si="10"/>
        <v>79</v>
      </c>
      <c r="J39" s="15">
        <f t="shared" si="11"/>
        <v>0.14575645756457564</v>
      </c>
      <c r="K39" s="32" t="s">
        <v>55</v>
      </c>
    </row>
    <row r="40" spans="1:11" ht="16" customHeight="1" x14ac:dyDescent="0.2">
      <c r="A40" s="11"/>
      <c r="B40" s="17">
        <f t="shared" si="1"/>
        <v>46041.276536312856</v>
      </c>
      <c r="C40" s="18"/>
      <c r="D40" s="1" t="s">
        <v>93</v>
      </c>
      <c r="E40" t="s">
        <v>86</v>
      </c>
      <c r="F40">
        <f>VLOOKUP(E40,info!E:F,2,FALSE)</f>
        <v>56</v>
      </c>
      <c r="G40" s="12"/>
      <c r="H40" s="13">
        <f>SUM($F$6:F40)</f>
        <v>598</v>
      </c>
      <c r="I40" s="14">
        <f t="shared" si="10"/>
        <v>79</v>
      </c>
      <c r="J40" s="15">
        <f t="shared" si="11"/>
        <v>0.13210702341137123</v>
      </c>
      <c r="K40" s="32" t="s">
        <v>56</v>
      </c>
    </row>
    <row r="41" spans="1:11" ht="16" customHeight="1" x14ac:dyDescent="0.2">
      <c r="A41" s="11"/>
      <c r="B41" s="17">
        <f t="shared" si="1"/>
        <v>46045.396648044698</v>
      </c>
      <c r="C41" s="18"/>
      <c r="D41" s="1" t="s">
        <v>93</v>
      </c>
      <c r="E41" t="s">
        <v>87</v>
      </c>
      <c r="F41">
        <f>VLOOKUP(E41,info!E:F,2,FALSE)</f>
        <v>50</v>
      </c>
      <c r="G41" s="12"/>
      <c r="H41" s="13">
        <f>SUM($F$6:F41)</f>
        <v>648</v>
      </c>
      <c r="I41" s="14">
        <f t="shared" si="10"/>
        <v>79</v>
      </c>
      <c r="J41" s="15">
        <f t="shared" si="11"/>
        <v>0.12191358024691358</v>
      </c>
      <c r="K41" s="32" t="s">
        <v>55</v>
      </c>
    </row>
    <row r="42" spans="1:11" ht="16" customHeight="1" x14ac:dyDescent="0.2">
      <c r="A42" s="11"/>
      <c r="B42" s="17">
        <f t="shared" si="1"/>
        <v>46047.621508379896</v>
      </c>
      <c r="C42" s="18"/>
      <c r="D42" s="1" t="s">
        <v>93</v>
      </c>
      <c r="E42" t="s">
        <v>88</v>
      </c>
      <c r="F42">
        <f>VLOOKUP(E42,info!E:F,2,FALSE)</f>
        <v>27</v>
      </c>
      <c r="G42" s="12"/>
      <c r="H42" s="13">
        <f>SUM($F$6:F42)</f>
        <v>675</v>
      </c>
      <c r="I42" s="14">
        <f t="shared" si="10"/>
        <v>79</v>
      </c>
      <c r="J42" s="15">
        <f t="shared" si="11"/>
        <v>0.11703703703703704</v>
      </c>
      <c r="K42" s="32" t="s">
        <v>56</v>
      </c>
    </row>
    <row r="43" spans="1:11" ht="16" customHeight="1" x14ac:dyDescent="0.2">
      <c r="A43" s="11"/>
      <c r="B43" s="17">
        <f t="shared" si="1"/>
        <v>46050.011173184364</v>
      </c>
      <c r="C43" s="18"/>
      <c r="D43" s="1" t="s">
        <v>93</v>
      </c>
      <c r="E43" t="s">
        <v>90</v>
      </c>
      <c r="F43">
        <f>VLOOKUP(E43,info!E:F,2,FALSE)</f>
        <v>29</v>
      </c>
      <c r="G43" s="12"/>
      <c r="H43" s="13">
        <f>SUM($F$6:F43)</f>
        <v>704</v>
      </c>
      <c r="I43" s="14">
        <f t="shared" si="10"/>
        <v>79</v>
      </c>
      <c r="J43" s="15">
        <f t="shared" si="11"/>
        <v>0.11221590909090909</v>
      </c>
      <c r="K43" s="32" t="s">
        <v>56</v>
      </c>
    </row>
    <row r="44" spans="1:11" ht="16" customHeight="1" x14ac:dyDescent="0.2">
      <c r="A44" s="11"/>
      <c r="B44" s="17">
        <f t="shared" si="1"/>
        <v>46051.000000000007</v>
      </c>
      <c r="C44" s="18"/>
      <c r="D44" s="1" t="s">
        <v>93</v>
      </c>
      <c r="E44" t="s">
        <v>89</v>
      </c>
      <c r="F44">
        <f>VLOOKUP(E44,info!E:F,2,FALSE)</f>
        <v>12</v>
      </c>
      <c r="G44" s="12"/>
      <c r="H44" s="13">
        <f>SUM($F$6:F44)</f>
        <v>716</v>
      </c>
      <c r="I44" s="14">
        <f t="shared" si="10"/>
        <v>79</v>
      </c>
      <c r="J44" s="15">
        <f t="shared" si="11"/>
        <v>0.11033519553072625</v>
      </c>
      <c r="K44" s="32" t="s">
        <v>55</v>
      </c>
    </row>
    <row r="45" spans="1:11" ht="16" customHeight="1" x14ac:dyDescent="0.2">
      <c r="A45" s="47"/>
      <c r="B45" s="48">
        <f t="shared" si="1"/>
        <v>46051.000000000007</v>
      </c>
      <c r="C45" s="49"/>
      <c r="D45" s="50"/>
      <c r="E45" s="51" t="s">
        <v>44</v>
      </c>
      <c r="F45" s="52"/>
      <c r="G45" s="53"/>
      <c r="H45" s="54">
        <f>SUM($F$6:F45)</f>
        <v>716</v>
      </c>
      <c r="I45" s="55">
        <f t="shared" si="5"/>
        <v>79</v>
      </c>
      <c r="J45" s="56">
        <f t="shared" si="0"/>
        <v>0.11033519553072625</v>
      </c>
      <c r="K45" s="57"/>
    </row>
    <row r="46" spans="1:11" x14ac:dyDescent="0.2">
      <c r="B46" s="17"/>
      <c r="C46" s="17"/>
      <c r="D46" s="20"/>
    </row>
    <row r="47" spans="1:11" x14ac:dyDescent="0.2">
      <c r="B47" s="17">
        <f>B50-14</f>
        <v>46064</v>
      </c>
      <c r="C47" s="17"/>
      <c r="D47" s="19" t="s">
        <v>13</v>
      </c>
    </row>
    <row r="48" spans="1:11" x14ac:dyDescent="0.2">
      <c r="B48" s="17"/>
      <c r="C48" s="17"/>
      <c r="D48" s="20" t="s">
        <v>11</v>
      </c>
    </row>
    <row r="49" spans="2:4" x14ac:dyDescent="0.2">
      <c r="B49" s="17"/>
      <c r="C49" s="17"/>
      <c r="D49" s="21"/>
    </row>
    <row r="50" spans="2:4" x14ac:dyDescent="0.2">
      <c r="B50" s="17">
        <f>B52-7</f>
        <v>46078</v>
      </c>
      <c r="C50" s="17"/>
      <c r="D50" s="19" t="s">
        <v>101</v>
      </c>
    </row>
    <row r="51" spans="2:4" x14ac:dyDescent="0.2">
      <c r="B51" s="17"/>
      <c r="C51" s="17"/>
      <c r="D51" s="20"/>
    </row>
    <row r="52" spans="2:4" x14ac:dyDescent="0.2">
      <c r="B52" s="17">
        <f>B54-3</f>
        <v>46085</v>
      </c>
      <c r="C52" s="17"/>
      <c r="D52" s="19" t="s">
        <v>102</v>
      </c>
    </row>
    <row r="53" spans="2:4" x14ac:dyDescent="0.2">
      <c r="B53" s="17"/>
      <c r="C53" s="17"/>
      <c r="D53" s="20"/>
    </row>
    <row r="54" spans="2:4" x14ac:dyDescent="0.2">
      <c r="B54" s="17">
        <f>B56-15</f>
        <v>46088</v>
      </c>
      <c r="C54" s="17"/>
      <c r="D54" s="22" t="s">
        <v>49</v>
      </c>
    </row>
    <row r="55" spans="2:4" x14ac:dyDescent="0.2">
      <c r="B55" s="17"/>
      <c r="C55" s="17"/>
      <c r="D55" s="22"/>
    </row>
    <row r="56" spans="2:4" x14ac:dyDescent="0.2">
      <c r="B56" s="17">
        <f>B58-1</f>
        <v>46103</v>
      </c>
      <c r="C56" s="17"/>
      <c r="D56" s="22" t="s">
        <v>48</v>
      </c>
    </row>
    <row r="57" spans="2:4" x14ac:dyDescent="0.2">
      <c r="B57" s="17"/>
      <c r="C57" s="17"/>
      <c r="D57" s="20"/>
    </row>
    <row r="58" spans="2:4" x14ac:dyDescent="0.2">
      <c r="B58" s="24">
        <f>info!B3</f>
        <v>46104</v>
      </c>
      <c r="C58" s="24"/>
      <c r="D58" s="23" t="s">
        <v>14</v>
      </c>
    </row>
    <row r="59" spans="2:4" x14ac:dyDescent="0.2">
      <c r="B59" s="17"/>
      <c r="C59" s="17"/>
      <c r="D59" s="21"/>
    </row>
    <row r="60" spans="2:4" x14ac:dyDescent="0.2">
      <c r="B60" s="17">
        <f>B58+1</f>
        <v>46105</v>
      </c>
      <c r="C60" s="17"/>
      <c r="D60" s="19" t="s">
        <v>52</v>
      </c>
    </row>
  </sheetData>
  <mergeCells count="1">
    <mergeCell ref="M1:N1"/>
  </mergeCells>
  <phoneticPr fontId="17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5" xr:uid="{00000000-0002-0000-0100-000001000000}">
      <formula1>"No,Yes"</formula1>
    </dataValidation>
  </dataValidations>
  <hyperlinks>
    <hyperlink ref="E23" r:id="rId1" display="https://www.soa.org/resources/research-reports/2022/understanding-the-connection/" xr:uid="{A9CB84C3-C5D0-134E-A878-96EF6890B463}"/>
  </hyperlinks>
  <pageMargins left="0.7" right="0.7" top="0.75" bottom="0.75" header="0.3" footer="0.3"/>
  <pageSetup scale="50" orientation="landscape" r:id="rId2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:B45 C7:C12 B46:B63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topLeftCell="A21" zoomScale="80" zoomScaleNormal="80" zoomScalePageLayoutView="80" workbookViewId="0"/>
  </sheetViews>
  <sheetFormatPr baseColWidth="10" defaultColWidth="8.83203125" defaultRowHeight="15" x14ac:dyDescent="0.2"/>
  <sheetData>
    <row r="58" spans="2:2" x14ac:dyDescent="0.2">
      <c r="B58" t="s">
        <v>30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zoomScale="99" workbookViewId="0">
      <selection activeCell="B2" sqref="B2"/>
    </sheetView>
  </sheetViews>
  <sheetFormatPr baseColWidth="10" defaultColWidth="8.83203125" defaultRowHeight="15" x14ac:dyDescent="0.2"/>
  <cols>
    <col min="2" max="2" width="9.5" bestFit="1" customWidth="1"/>
  </cols>
  <sheetData>
    <row r="1" spans="1:3" x14ac:dyDescent="0.2">
      <c r="A1" s="33" t="s">
        <v>57</v>
      </c>
      <c r="B1" s="33" t="s">
        <v>58</v>
      </c>
      <c r="C1" s="33" t="s">
        <v>59</v>
      </c>
    </row>
    <row r="2" spans="1:3" x14ac:dyDescent="0.2">
      <c r="A2" t="s">
        <v>60</v>
      </c>
      <c r="B2" s="26">
        <v>45989</v>
      </c>
      <c r="C2" t="s">
        <v>103</v>
      </c>
    </row>
    <row r="3" spans="1:3" x14ac:dyDescent="0.2">
      <c r="B3" s="26"/>
    </row>
    <row r="4" spans="1:3" x14ac:dyDescent="0.2">
      <c r="B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8"/>
  <sheetViews>
    <sheetView zoomScaleNormal="85" workbookViewId="0">
      <selection activeCell="B3" sqref="B3"/>
    </sheetView>
  </sheetViews>
  <sheetFormatPr baseColWidth="10" defaultColWidth="11.5" defaultRowHeight="15" x14ac:dyDescent="0.2"/>
  <cols>
    <col min="5" max="5" width="143" customWidth="1"/>
  </cols>
  <sheetData>
    <row r="2" spans="1:8" x14ac:dyDescent="0.2">
      <c r="A2" t="s">
        <v>16</v>
      </c>
      <c r="B2" s="26">
        <v>46006</v>
      </c>
    </row>
    <row r="3" spans="1:8" x14ac:dyDescent="0.2">
      <c r="A3" t="s">
        <v>33</v>
      </c>
      <c r="B3" s="26">
        <v>46104</v>
      </c>
    </row>
    <row r="4" spans="1:8" x14ac:dyDescent="0.2">
      <c r="A4" t="s">
        <v>35</v>
      </c>
      <c r="B4" s="27">
        <f>B3-B2</f>
        <v>98</v>
      </c>
      <c r="F4">
        <f>SUM(F6:F128)</f>
        <v>716</v>
      </c>
      <c r="H4">
        <f>SUM(H6:H128)</f>
        <v>59.000000000000007</v>
      </c>
    </row>
    <row r="5" spans="1:8" x14ac:dyDescent="0.2">
      <c r="A5" t="s">
        <v>34</v>
      </c>
      <c r="B5" s="28">
        <v>0.6</v>
      </c>
      <c r="D5" t="s">
        <v>50</v>
      </c>
      <c r="E5" t="s">
        <v>53</v>
      </c>
      <c r="F5" t="s">
        <v>32</v>
      </c>
      <c r="G5" t="s">
        <v>37</v>
      </c>
      <c r="H5" t="s">
        <v>15</v>
      </c>
    </row>
    <row r="6" spans="1:8" x14ac:dyDescent="0.2">
      <c r="A6" t="s">
        <v>36</v>
      </c>
      <c r="B6">
        <f>ROUND(B5*B4,0)</f>
        <v>59</v>
      </c>
      <c r="D6" s="35">
        <v>1</v>
      </c>
      <c r="E6" s="35" t="s">
        <v>62</v>
      </c>
      <c r="F6" s="35">
        <v>11</v>
      </c>
      <c r="G6">
        <f>F6/$F$4</f>
        <v>1.5363128491620111E-2</v>
      </c>
      <c r="H6">
        <f t="shared" ref="H6:H42" si="0">G6*$B$6</f>
        <v>0.90642458100558654</v>
      </c>
    </row>
    <row r="7" spans="1:8" x14ac:dyDescent="0.2">
      <c r="D7" s="35">
        <v>1</v>
      </c>
      <c r="E7" s="35" t="s">
        <v>63</v>
      </c>
      <c r="F7" s="35">
        <v>19</v>
      </c>
      <c r="G7">
        <f t="shared" ref="G7:G42" si="1">F7/$F$4</f>
        <v>2.6536312849162011E-2</v>
      </c>
      <c r="H7">
        <f t="shared" si="0"/>
        <v>1.5656424581005586</v>
      </c>
    </row>
    <row r="8" spans="1:8" x14ac:dyDescent="0.2">
      <c r="D8" s="35">
        <v>1</v>
      </c>
      <c r="E8" s="35" t="s">
        <v>64</v>
      </c>
      <c r="F8" s="35">
        <v>4</v>
      </c>
      <c r="G8">
        <f t="shared" si="1"/>
        <v>5.5865921787709499E-3</v>
      </c>
      <c r="H8">
        <f t="shared" si="0"/>
        <v>0.32960893854748602</v>
      </c>
    </row>
    <row r="9" spans="1:8" x14ac:dyDescent="0.2">
      <c r="B9" s="26"/>
      <c r="D9" s="35">
        <v>1</v>
      </c>
      <c r="E9" s="35" t="s">
        <v>65</v>
      </c>
      <c r="F9" s="35">
        <v>16</v>
      </c>
      <c r="G9">
        <f t="shared" si="1"/>
        <v>2.23463687150838E-2</v>
      </c>
      <c r="H9">
        <f t="shared" si="0"/>
        <v>1.3184357541899441</v>
      </c>
    </row>
    <row r="10" spans="1:8" x14ac:dyDescent="0.2">
      <c r="D10" s="35">
        <v>1</v>
      </c>
      <c r="E10" s="35" t="s">
        <v>66</v>
      </c>
      <c r="F10" s="35">
        <v>4</v>
      </c>
      <c r="G10">
        <f t="shared" si="1"/>
        <v>5.5865921787709499E-3</v>
      </c>
      <c r="H10">
        <f t="shared" si="0"/>
        <v>0.32960893854748602</v>
      </c>
    </row>
    <row r="11" spans="1:8" x14ac:dyDescent="0.2">
      <c r="D11" s="35">
        <v>1</v>
      </c>
      <c r="E11" s="35" t="s">
        <v>67</v>
      </c>
      <c r="F11" s="35">
        <v>14</v>
      </c>
      <c r="G11">
        <f t="shared" si="1"/>
        <v>1.9553072625698324E-2</v>
      </c>
      <c r="H11">
        <f t="shared" si="0"/>
        <v>1.1536312849162011</v>
      </c>
    </row>
    <row r="12" spans="1:8" x14ac:dyDescent="0.2">
      <c r="D12" s="35">
        <v>1</v>
      </c>
      <c r="E12" s="35" t="s">
        <v>68</v>
      </c>
      <c r="F12" s="35">
        <v>11</v>
      </c>
      <c r="G12">
        <f t="shared" si="1"/>
        <v>1.5363128491620111E-2</v>
      </c>
      <c r="H12">
        <f t="shared" si="0"/>
        <v>0.90642458100558654</v>
      </c>
    </row>
    <row r="13" spans="1:8" x14ac:dyDescent="0.2">
      <c r="D13" s="35">
        <v>2</v>
      </c>
      <c r="E13" s="35" t="s">
        <v>69</v>
      </c>
      <c r="F13" s="35">
        <v>24</v>
      </c>
      <c r="G13">
        <f t="shared" si="1"/>
        <v>3.3519553072625698E-2</v>
      </c>
      <c r="H13">
        <f t="shared" si="0"/>
        <v>1.9776536312849162</v>
      </c>
    </row>
    <row r="14" spans="1:8" x14ac:dyDescent="0.2">
      <c r="D14" s="35">
        <v>2</v>
      </c>
      <c r="E14" s="35" t="s">
        <v>70</v>
      </c>
      <c r="F14" s="35">
        <v>16</v>
      </c>
      <c r="G14">
        <f t="shared" si="1"/>
        <v>2.23463687150838E-2</v>
      </c>
      <c r="H14">
        <f t="shared" si="0"/>
        <v>1.3184357541899441</v>
      </c>
    </row>
    <row r="15" spans="1:8" x14ac:dyDescent="0.2">
      <c r="B15" s="26"/>
      <c r="D15" s="35">
        <v>2</v>
      </c>
      <c r="E15" s="35" t="s">
        <v>71</v>
      </c>
      <c r="F15" s="35">
        <v>10</v>
      </c>
      <c r="G15">
        <f t="shared" si="1"/>
        <v>1.3966480446927373E-2</v>
      </c>
      <c r="H15">
        <f t="shared" si="0"/>
        <v>0.82402234636871508</v>
      </c>
    </row>
    <row r="16" spans="1:8" x14ac:dyDescent="0.2">
      <c r="D16" s="35">
        <v>2</v>
      </c>
      <c r="E16" s="35" t="s">
        <v>72</v>
      </c>
      <c r="F16" s="35">
        <v>14</v>
      </c>
      <c r="G16">
        <f t="shared" si="1"/>
        <v>1.9553072625698324E-2</v>
      </c>
      <c r="H16">
        <f t="shared" si="0"/>
        <v>1.1536312849162011</v>
      </c>
    </row>
    <row r="17" spans="4:8" x14ac:dyDescent="0.2">
      <c r="D17" s="35">
        <v>2</v>
      </c>
      <c r="E17" s="35" t="s">
        <v>73</v>
      </c>
      <c r="F17" s="35">
        <v>23</v>
      </c>
      <c r="G17">
        <f t="shared" si="1"/>
        <v>3.2122905027932962E-2</v>
      </c>
      <c r="H17">
        <f t="shared" si="0"/>
        <v>1.8952513966480447</v>
      </c>
    </row>
    <row r="18" spans="4:8" x14ac:dyDescent="0.2">
      <c r="D18" s="35">
        <v>2</v>
      </c>
      <c r="E18" s="35" t="s">
        <v>74</v>
      </c>
      <c r="F18" s="35">
        <v>12</v>
      </c>
      <c r="G18">
        <f t="shared" si="1"/>
        <v>1.6759776536312849E-2</v>
      </c>
      <c r="H18">
        <f t="shared" si="0"/>
        <v>0.98882681564245811</v>
      </c>
    </row>
    <row r="19" spans="4:8" x14ac:dyDescent="0.2">
      <c r="D19" s="35">
        <v>2</v>
      </c>
      <c r="E19" s="35" t="s">
        <v>75</v>
      </c>
      <c r="F19" s="35">
        <v>9</v>
      </c>
      <c r="G19">
        <f t="shared" si="1"/>
        <v>1.2569832402234637E-2</v>
      </c>
      <c r="H19">
        <f t="shared" si="0"/>
        <v>0.74162011173184361</v>
      </c>
    </row>
    <row r="20" spans="4:8" x14ac:dyDescent="0.2">
      <c r="D20" s="35">
        <v>2</v>
      </c>
      <c r="E20" s="35" t="s">
        <v>76</v>
      </c>
      <c r="F20" s="35">
        <v>12</v>
      </c>
      <c r="G20">
        <f t="shared" si="1"/>
        <v>1.6759776536312849E-2</v>
      </c>
      <c r="H20">
        <f t="shared" si="0"/>
        <v>0.98882681564245811</v>
      </c>
    </row>
    <row r="21" spans="4:8" x14ac:dyDescent="0.2">
      <c r="D21" s="35">
        <v>2</v>
      </c>
      <c r="E21" s="35" t="s">
        <v>77</v>
      </c>
      <c r="F21" s="35">
        <v>1</v>
      </c>
      <c r="G21">
        <f t="shared" ref="G21:G27" si="2">F21/$F$4</f>
        <v>1.3966480446927375E-3</v>
      </c>
      <c r="H21">
        <f t="shared" ref="H21:H27" si="3">G21*$B$6</f>
        <v>8.2402234636871505E-2</v>
      </c>
    </row>
    <row r="22" spans="4:8" x14ac:dyDescent="0.2">
      <c r="D22" s="35">
        <v>2</v>
      </c>
      <c r="E22" s="35" t="s">
        <v>61</v>
      </c>
      <c r="F22" s="35">
        <v>38</v>
      </c>
      <c r="G22">
        <f t="shared" si="2"/>
        <v>5.3072625698324022E-2</v>
      </c>
      <c r="H22">
        <f t="shared" si="3"/>
        <v>3.1312849162011172</v>
      </c>
    </row>
    <row r="23" spans="4:8" x14ac:dyDescent="0.2">
      <c r="D23" s="35">
        <v>2</v>
      </c>
      <c r="E23" s="35" t="s">
        <v>98</v>
      </c>
      <c r="F23" s="35">
        <v>22</v>
      </c>
      <c r="G23">
        <f t="shared" si="2"/>
        <v>3.0726256983240222E-2</v>
      </c>
      <c r="H23">
        <f t="shared" si="3"/>
        <v>1.8128491620111731</v>
      </c>
    </row>
    <row r="24" spans="4:8" x14ac:dyDescent="0.2">
      <c r="D24" s="35">
        <v>2</v>
      </c>
      <c r="E24" s="35" t="s">
        <v>99</v>
      </c>
      <c r="F24" s="35">
        <v>11</v>
      </c>
      <c r="G24">
        <f t="shared" si="2"/>
        <v>1.5363128491620111E-2</v>
      </c>
      <c r="H24">
        <f t="shared" si="3"/>
        <v>0.90642458100558654</v>
      </c>
    </row>
    <row r="25" spans="4:8" x14ac:dyDescent="0.2">
      <c r="D25" s="35">
        <v>2</v>
      </c>
      <c r="E25" s="35" t="s">
        <v>78</v>
      </c>
      <c r="F25" s="35">
        <v>48</v>
      </c>
      <c r="G25">
        <f t="shared" si="2"/>
        <v>6.7039106145251395E-2</v>
      </c>
      <c r="H25">
        <f t="shared" si="3"/>
        <v>3.9553072625698324</v>
      </c>
    </row>
    <row r="26" spans="4:8" x14ac:dyDescent="0.2">
      <c r="D26" s="35">
        <v>2</v>
      </c>
      <c r="E26" s="35" t="s">
        <v>79</v>
      </c>
      <c r="F26" s="35">
        <v>18</v>
      </c>
      <c r="G26">
        <f t="shared" si="2"/>
        <v>2.5139664804469275E-2</v>
      </c>
      <c r="H26">
        <f t="shared" si="3"/>
        <v>1.4832402234636872</v>
      </c>
    </row>
    <row r="27" spans="4:8" x14ac:dyDescent="0.2">
      <c r="D27" s="35">
        <v>2</v>
      </c>
      <c r="E27" s="35" t="s">
        <v>80</v>
      </c>
      <c r="F27" s="35">
        <v>7</v>
      </c>
      <c r="G27">
        <f t="shared" si="2"/>
        <v>9.7765363128491621E-3</v>
      </c>
      <c r="H27">
        <f t="shared" si="3"/>
        <v>0.57681564245810057</v>
      </c>
    </row>
    <row r="28" spans="4:8" x14ac:dyDescent="0.2">
      <c r="D28" s="35">
        <v>2</v>
      </c>
      <c r="E28" s="35" t="s">
        <v>81</v>
      </c>
      <c r="F28" s="35">
        <v>52</v>
      </c>
      <c r="G28">
        <f t="shared" si="1"/>
        <v>7.2625698324022353E-2</v>
      </c>
      <c r="H28">
        <f t="shared" si="0"/>
        <v>4.2849162011173192</v>
      </c>
    </row>
    <row r="29" spans="4:8" x14ac:dyDescent="0.2">
      <c r="D29" s="35">
        <v>2</v>
      </c>
      <c r="E29" s="35" t="s">
        <v>100</v>
      </c>
      <c r="F29" s="35">
        <v>31</v>
      </c>
      <c r="G29">
        <f t="shared" si="1"/>
        <v>4.3296089385474863E-2</v>
      </c>
      <c r="H29">
        <f t="shared" si="0"/>
        <v>2.5544692737430168</v>
      </c>
    </row>
    <row r="30" spans="4:8" x14ac:dyDescent="0.2">
      <c r="D30" s="35">
        <v>3</v>
      </c>
      <c r="E30" s="35" t="s">
        <v>82</v>
      </c>
      <c r="F30" s="35">
        <v>21</v>
      </c>
      <c r="G30">
        <f t="shared" si="1"/>
        <v>2.9329608938547486E-2</v>
      </c>
      <c r="H30">
        <f t="shared" si="0"/>
        <v>1.7304469273743017</v>
      </c>
    </row>
    <row r="31" spans="4:8" x14ac:dyDescent="0.2">
      <c r="D31" s="35">
        <v>3</v>
      </c>
      <c r="E31" s="35" t="s">
        <v>83</v>
      </c>
      <c r="F31" s="35">
        <v>3</v>
      </c>
      <c r="G31">
        <f t="shared" si="1"/>
        <v>4.1899441340782122E-3</v>
      </c>
      <c r="H31">
        <f t="shared" si="0"/>
        <v>0.24720670391061453</v>
      </c>
    </row>
    <row r="32" spans="4:8" x14ac:dyDescent="0.2">
      <c r="D32" s="35">
        <v>3</v>
      </c>
      <c r="E32" s="35" t="s">
        <v>84</v>
      </c>
      <c r="F32" s="35">
        <v>12</v>
      </c>
      <c r="G32">
        <f t="shared" si="1"/>
        <v>1.6759776536312849E-2</v>
      </c>
      <c r="H32">
        <f t="shared" ref="H32" si="4">G32*$B$6</f>
        <v>0.98882681564245811</v>
      </c>
    </row>
    <row r="33" spans="4:8" x14ac:dyDescent="0.2">
      <c r="D33" s="35">
        <v>3</v>
      </c>
      <c r="E33" s="35" t="s">
        <v>94</v>
      </c>
      <c r="F33" s="35">
        <v>19</v>
      </c>
      <c r="G33">
        <f t="shared" si="1"/>
        <v>2.6536312849162011E-2</v>
      </c>
      <c r="H33">
        <f t="shared" si="0"/>
        <v>1.5656424581005586</v>
      </c>
    </row>
    <row r="34" spans="4:8" x14ac:dyDescent="0.2">
      <c r="D34" s="35">
        <v>3</v>
      </c>
      <c r="E34" s="35" t="s">
        <v>95</v>
      </c>
      <c r="F34" s="35">
        <v>19</v>
      </c>
      <c r="G34">
        <f t="shared" si="1"/>
        <v>2.6536312849162011E-2</v>
      </c>
      <c r="H34">
        <f t="shared" si="0"/>
        <v>1.5656424581005586</v>
      </c>
    </row>
    <row r="35" spans="4:8" x14ac:dyDescent="0.2">
      <c r="D35" s="35">
        <v>3</v>
      </c>
      <c r="E35" s="35" t="s">
        <v>96</v>
      </c>
      <c r="F35" s="35">
        <v>12</v>
      </c>
      <c r="G35">
        <f t="shared" si="1"/>
        <v>1.6759776536312849E-2</v>
      </c>
      <c r="H35">
        <f t="shared" si="0"/>
        <v>0.98882681564245811</v>
      </c>
    </row>
    <row r="36" spans="4:8" x14ac:dyDescent="0.2">
      <c r="D36" s="35">
        <v>3</v>
      </c>
      <c r="E36" s="35" t="s">
        <v>97</v>
      </c>
      <c r="F36" s="35">
        <v>13</v>
      </c>
      <c r="G36">
        <f t="shared" si="1"/>
        <v>1.8156424581005588E-2</v>
      </c>
      <c r="H36">
        <f t="shared" si="0"/>
        <v>1.0712290502793298</v>
      </c>
    </row>
    <row r="37" spans="4:8" x14ac:dyDescent="0.2">
      <c r="D37" s="35">
        <v>3</v>
      </c>
      <c r="E37" s="35" t="s">
        <v>85</v>
      </c>
      <c r="F37" s="35">
        <v>16</v>
      </c>
      <c r="G37">
        <f t="shared" si="1"/>
        <v>2.23463687150838E-2</v>
      </c>
      <c r="H37">
        <f t="shared" si="0"/>
        <v>1.3184357541899441</v>
      </c>
    </row>
    <row r="38" spans="4:8" x14ac:dyDescent="0.2">
      <c r="D38" s="35">
        <v>3</v>
      </c>
      <c r="E38" s="35" t="s">
        <v>86</v>
      </c>
      <c r="F38" s="35">
        <v>56</v>
      </c>
      <c r="G38">
        <f t="shared" si="1"/>
        <v>7.8212290502793297E-2</v>
      </c>
      <c r="H38">
        <f t="shared" si="0"/>
        <v>4.6145251396648046</v>
      </c>
    </row>
    <row r="39" spans="4:8" x14ac:dyDescent="0.2">
      <c r="D39" s="35">
        <v>3</v>
      </c>
      <c r="E39" s="35" t="s">
        <v>87</v>
      </c>
      <c r="F39" s="35">
        <v>50</v>
      </c>
      <c r="G39">
        <f t="shared" si="1"/>
        <v>6.9832402234636867E-2</v>
      </c>
      <c r="H39">
        <f t="shared" si="0"/>
        <v>4.1201117318435756</v>
      </c>
    </row>
    <row r="40" spans="4:8" x14ac:dyDescent="0.2">
      <c r="D40" s="35">
        <v>3</v>
      </c>
      <c r="E40" s="35" t="s">
        <v>90</v>
      </c>
      <c r="F40" s="35">
        <v>29</v>
      </c>
      <c r="G40">
        <f t="shared" si="1"/>
        <v>4.0502793296089384E-2</v>
      </c>
      <c r="H40">
        <f t="shared" si="0"/>
        <v>2.3896648044692737</v>
      </c>
    </row>
    <row r="41" spans="4:8" x14ac:dyDescent="0.2">
      <c r="D41" s="35">
        <v>3</v>
      </c>
      <c r="E41" s="35" t="s">
        <v>88</v>
      </c>
      <c r="F41" s="35">
        <v>27</v>
      </c>
      <c r="G41">
        <f t="shared" si="1"/>
        <v>3.7709497206703912E-2</v>
      </c>
      <c r="H41">
        <f t="shared" si="0"/>
        <v>2.2248603351955309</v>
      </c>
    </row>
    <row r="42" spans="4:8" x14ac:dyDescent="0.2">
      <c r="D42" s="35">
        <v>3</v>
      </c>
      <c r="E42" s="35" t="s">
        <v>89</v>
      </c>
      <c r="F42" s="35">
        <v>12</v>
      </c>
      <c r="G42">
        <f t="shared" si="1"/>
        <v>1.6759776536312849E-2</v>
      </c>
      <c r="H42">
        <f t="shared" si="0"/>
        <v>0.98882681564245811</v>
      </c>
    </row>
    <row r="43" spans="4:8" x14ac:dyDescent="0.2">
      <c r="D43" s="34"/>
      <c r="E43" s="34"/>
      <c r="F43" s="34"/>
    </row>
    <row r="44" spans="4:8" x14ac:dyDescent="0.2">
      <c r="D44" s="34"/>
      <c r="E44" s="34"/>
      <c r="F44" s="34"/>
    </row>
    <row r="45" spans="4:8" x14ac:dyDescent="0.2">
      <c r="D45" s="34"/>
      <c r="E45" s="34"/>
      <c r="F45" s="34"/>
    </row>
    <row r="46" spans="4:8" x14ac:dyDescent="0.2">
      <c r="D46" s="34"/>
      <c r="E46" s="34"/>
      <c r="F46" s="34"/>
    </row>
    <row r="47" spans="4:8" x14ac:dyDescent="0.2">
      <c r="D47" s="34"/>
      <c r="E47" s="34"/>
      <c r="F47" s="34"/>
    </row>
    <row r="48" spans="4:8" x14ac:dyDescent="0.2">
      <c r="D48" s="34"/>
      <c r="E48" s="34"/>
      <c r="F48" s="34"/>
    </row>
    <row r="49" spans="4:6" x14ac:dyDescent="0.2">
      <c r="D49" s="34"/>
      <c r="E49" s="34"/>
      <c r="F49" s="34"/>
    </row>
    <row r="50" spans="4:6" x14ac:dyDescent="0.2">
      <c r="D50" s="34"/>
      <c r="E50" s="34"/>
      <c r="F50" s="34"/>
    </row>
    <row r="51" spans="4:6" x14ac:dyDescent="0.2">
      <c r="D51" s="34"/>
      <c r="E51" s="34"/>
      <c r="F51" s="34"/>
    </row>
    <row r="52" spans="4:6" x14ac:dyDescent="0.2">
      <c r="D52" s="34"/>
      <c r="E52" s="34"/>
      <c r="F52" s="34"/>
    </row>
    <row r="53" spans="4:6" x14ac:dyDescent="0.2">
      <c r="D53" s="34"/>
      <c r="E53" s="34"/>
      <c r="F53" s="34"/>
    </row>
    <row r="54" spans="4:6" x14ac:dyDescent="0.2">
      <c r="D54" s="34"/>
      <c r="E54" s="34"/>
      <c r="F54" s="34"/>
    </row>
    <row r="55" spans="4:6" x14ac:dyDescent="0.2">
      <c r="D55" s="34"/>
      <c r="E55" s="34"/>
      <c r="F55" s="34"/>
    </row>
    <row r="56" spans="4:6" x14ac:dyDescent="0.2">
      <c r="D56" s="34"/>
      <c r="E56" s="34"/>
      <c r="F56" s="34"/>
    </row>
    <row r="57" spans="4:6" x14ac:dyDescent="0.2">
      <c r="D57" s="34"/>
      <c r="E57" s="34"/>
      <c r="F57" s="34"/>
    </row>
    <row r="58" spans="4:6" x14ac:dyDescent="0.2">
      <c r="D58" s="34"/>
      <c r="E58" s="34"/>
      <c r="F58" s="34"/>
    </row>
    <row r="59" spans="4:6" x14ac:dyDescent="0.2">
      <c r="D59" s="34"/>
      <c r="E59" s="34"/>
      <c r="F59" s="34"/>
    </row>
    <row r="60" spans="4:6" x14ac:dyDescent="0.2">
      <c r="D60" s="34"/>
      <c r="E60" s="34"/>
      <c r="F60" s="34"/>
    </row>
    <row r="61" spans="4:6" x14ac:dyDescent="0.2">
      <c r="D61" s="34"/>
      <c r="E61" s="34"/>
      <c r="F61" s="34"/>
    </row>
    <row r="63" spans="4:6" ht="16" x14ac:dyDescent="0.2">
      <c r="E63" s="30" t="s">
        <v>51</v>
      </c>
    </row>
    <row r="64" spans="4:6" ht="16" x14ac:dyDescent="0.2">
      <c r="E64" s="25" t="s">
        <v>43</v>
      </c>
    </row>
    <row r="65" spans="5:5" ht="16" x14ac:dyDescent="0.2">
      <c r="E65" s="25" t="s">
        <v>44</v>
      </c>
    </row>
    <row r="66" spans="5:5" ht="16" x14ac:dyDescent="0.2">
      <c r="E66" s="25" t="s">
        <v>45</v>
      </c>
    </row>
    <row r="81" spans="5:6" ht="13.75" customHeight="1" x14ac:dyDescent="0.2"/>
    <row r="88" spans="5:6" x14ac:dyDescent="0.2">
      <c r="E88" s="25"/>
    </row>
    <row r="94" spans="5:6" x14ac:dyDescent="0.2">
      <c r="E94" s="25"/>
    </row>
    <row r="95" spans="5:6" x14ac:dyDescent="0.2">
      <c r="E95" s="25"/>
      <c r="F95" s="29"/>
    </row>
    <row r="97" spans="6:6" x14ac:dyDescent="0.2">
      <c r="F97" s="29"/>
    </row>
    <row r="111" spans="6:6" x14ac:dyDescent="0.2">
      <c r="F111" s="29"/>
    </row>
    <row r="112" spans="6:6" x14ac:dyDescent="0.2">
      <c r="F112" s="29"/>
    </row>
    <row r="119" spans="6:6" x14ac:dyDescent="0.2">
      <c r="F119" s="29"/>
    </row>
    <row r="120" spans="6:6" x14ac:dyDescent="0.2">
      <c r="F120" s="29"/>
    </row>
    <row r="121" spans="6:6" x14ac:dyDescent="0.2">
      <c r="F121" s="29"/>
    </row>
    <row r="122" spans="6:6" x14ac:dyDescent="0.2">
      <c r="F122" s="29"/>
    </row>
    <row r="123" spans="6:6" x14ac:dyDescent="0.2">
      <c r="F123" s="29"/>
    </row>
    <row r="124" spans="6:6" x14ac:dyDescent="0.2">
      <c r="F124" s="29"/>
    </row>
    <row r="125" spans="6:6" x14ac:dyDescent="0.2">
      <c r="F125" s="29"/>
    </row>
    <row r="126" spans="6:6" x14ac:dyDescent="0.2">
      <c r="F126" s="29"/>
    </row>
    <row r="127" spans="6:6" x14ac:dyDescent="0.2">
      <c r="F127" s="29"/>
    </row>
    <row r="128" spans="6:6" x14ac:dyDescent="0.2">
      <c r="F128" s="29"/>
    </row>
  </sheetData>
  <hyperlinks>
    <hyperlink ref="E29" r:id="rId1" display="https://www.soa.org/resources/research-reports/2022/understanding-the-connection/" xr:uid="{E8D0DC04-A164-3647-86B9-A867B68B0845}"/>
  </hyperlinks>
  <pageMargins left="0.75" right="0.75" top="1" bottom="1" header="0.5" footer="0.5"/>
  <pageSetup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Documentation</vt:lpstr>
      <vt:lpstr>Schedule</vt:lpstr>
      <vt:lpstr>Tracking</vt:lpstr>
      <vt:lpstr>RevisionHistory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Kenneth Qian</cp:lastModifiedBy>
  <cp:lastPrinted>2015-05-14T18:37:04Z</cp:lastPrinted>
  <dcterms:created xsi:type="dcterms:W3CDTF">2014-07-30T14:04:26Z</dcterms:created>
  <dcterms:modified xsi:type="dcterms:W3CDTF">2025-11-28T16:40:03Z</dcterms:modified>
</cp:coreProperties>
</file>