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wbra\Desktop\TIA\2026 Fall\CP 321\"/>
    </mc:Choice>
  </mc:AlternateContent>
  <xr:revisionPtr revIDLastSave="0" documentId="13_ncr:1_{69A36FCF-2AE0-4C8F-94A2-C166D91291FD}" xr6:coauthVersionLast="47" xr6:coauthVersionMax="47" xr10:uidLastSave="{00000000-0000-0000-0000-000000000000}"/>
  <bookViews>
    <workbookView xWindow="-98" yWindow="-98" windowWidth="20715" windowHeight="13155" tabRatio="728" xr2:uid="{00000000-000D-0000-FFFF-FFFF00000000}"/>
  </bookViews>
  <sheets>
    <sheet name="Documentation" sheetId="6" r:id="rId1"/>
    <sheet name="Schedule" sheetId="3" r:id="rId2"/>
    <sheet name="Tracking" sheetId="2" r:id="rId3"/>
    <sheet name="Schedule (double)" sheetId="9" state="hidden" r:id="rId4"/>
    <sheet name="Tracking (double)" sheetId="10" state="hidden" r:id="rId5"/>
    <sheet name="info" sheetId="7" state="hidden" r:id="rId6"/>
  </sheets>
  <definedNames>
    <definedName name="ActFDate" localSheetId="3">'Schedule (double)'!$C$6:$C$102</definedName>
    <definedName name="ActFDate">Schedule!$C$6:$C$53</definedName>
    <definedName name="CompFlag" localSheetId="3">'Schedule (double)'!$K$6:$K$102</definedName>
    <definedName name="CompFlag">Schedule!$K$6:$K$53</definedName>
    <definedName name="ExamDate" localSheetId="3">'Schedule (double)'!#REF!</definedName>
    <definedName name="ExamDate" localSheetId="4">Schedule!#REF!</definedName>
    <definedName name="ExamDate">Schedule!#REF!</definedName>
    <definedName name="LessonDays">info!$F$6:$H$56</definedName>
    <definedName name="LessonDaysDouble">info!$I$6:$K$56</definedName>
    <definedName name="MasterTable" localSheetId="3">#REF!</definedName>
    <definedName name="MasterTable" localSheetId="4">#REF!</definedName>
    <definedName name="MasterTable">#REF!</definedName>
    <definedName name="PgCnt" localSheetId="3">'Schedule (double)'!$J$6:$J$102</definedName>
    <definedName name="PgCnt">Schedule!$J$6:$J$53</definedName>
    <definedName name="_xlnm.Print_Area" localSheetId="0">Documentation!$A$1:$K$43</definedName>
    <definedName name="_xlnm.Print_Area" localSheetId="1">Schedule!$A$1:$L$92</definedName>
    <definedName name="_xlnm.Print_Titles" localSheetId="1">Schedule!$1:$5</definedName>
    <definedName name="_xlnm.Print_Titles" localSheetId="3">'Schedule (double)'!$1:$5</definedName>
    <definedName name="StartDate" localSheetId="3">'Schedule (double)'!$D$1</definedName>
    <definedName name="StartDate">Schedule!$D$1</definedName>
    <definedName name="TargetDays">info!$B$10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7" i="3" l="1"/>
  <c r="M38" i="3"/>
  <c r="M39" i="3"/>
  <c r="M40" i="3"/>
  <c r="M42" i="3"/>
  <c r="M43" i="3"/>
  <c r="M44" i="3"/>
  <c r="M45" i="3"/>
  <c r="M46" i="3"/>
  <c r="M47" i="3"/>
  <c r="M48" i="3"/>
  <c r="M49" i="3"/>
  <c r="M50" i="3"/>
  <c r="M24" i="3"/>
  <c r="M23" i="3"/>
  <c r="M22" i="3"/>
  <c r="M21" i="3"/>
  <c r="M26" i="3"/>
  <c r="M25" i="3"/>
  <c r="M51" i="3" l="1"/>
  <c r="M36" i="3"/>
  <c r="M35" i="3"/>
  <c r="M34" i="3"/>
  <c r="M33" i="3"/>
  <c r="M32" i="3"/>
  <c r="M31" i="3"/>
  <c r="M30" i="3"/>
  <c r="M41" i="3"/>
  <c r="M8" i="3"/>
  <c r="M7" i="3" l="1"/>
  <c r="M9" i="3"/>
  <c r="M10" i="3"/>
  <c r="M11" i="3"/>
  <c r="M12" i="3"/>
  <c r="M13" i="3"/>
  <c r="M14" i="3"/>
  <c r="M15" i="3"/>
  <c r="M16" i="3"/>
  <c r="M17" i="3"/>
  <c r="M18" i="3"/>
  <c r="M19" i="3"/>
  <c r="M20" i="3"/>
  <c r="M27" i="3"/>
  <c r="M28" i="3"/>
  <c r="M29" i="3"/>
  <c r="M52" i="3"/>
  <c r="M53" i="3"/>
  <c r="M62" i="9"/>
  <c r="M61" i="9"/>
  <c r="M60" i="9"/>
  <c r="M13" i="9"/>
  <c r="M12" i="9"/>
  <c r="M11" i="9"/>
  <c r="M79" i="9"/>
  <c r="M78" i="9"/>
  <c r="M77" i="9"/>
  <c r="M76" i="9"/>
  <c r="M75" i="9"/>
  <c r="M74" i="9"/>
  <c r="M73" i="9"/>
  <c r="M72" i="9"/>
  <c r="M71" i="9"/>
  <c r="M70" i="9"/>
  <c r="M69" i="9"/>
  <c r="M68" i="9"/>
  <c r="M42" i="9"/>
  <c r="M41" i="9"/>
  <c r="M40" i="9"/>
  <c r="M39" i="9"/>
  <c r="M38" i="9"/>
  <c r="M37" i="9"/>
  <c r="M36" i="9"/>
  <c r="M35" i="9"/>
  <c r="M34" i="9"/>
  <c r="M33" i="9"/>
  <c r="M32" i="9"/>
  <c r="M99" i="9" l="1"/>
  <c r="M100" i="9"/>
  <c r="M101" i="9"/>
  <c r="M48" i="9"/>
  <c r="M49" i="9"/>
  <c r="M50" i="9"/>
  <c r="M51" i="9"/>
  <c r="M52" i="9"/>
  <c r="M53" i="9"/>
  <c r="M27" i="9"/>
  <c r="M28" i="9"/>
  <c r="M29" i="9"/>
  <c r="M30" i="9"/>
  <c r="M66" i="9" l="1"/>
  <c r="M65" i="9"/>
  <c r="M18" i="9"/>
  <c r="M17" i="9"/>
  <c r="B3" i="7"/>
  <c r="D105" i="9" l="1"/>
  <c r="J4" i="7" l="1"/>
  <c r="K34" i="7" s="1"/>
  <c r="B2" i="7"/>
  <c r="B9" i="7" s="1"/>
  <c r="B5" i="7"/>
  <c r="G4" i="7"/>
  <c r="H34" i="7" s="1"/>
  <c r="M92" i="9"/>
  <c r="M93" i="9"/>
  <c r="M94" i="9"/>
  <c r="M95" i="9"/>
  <c r="M96" i="9"/>
  <c r="M97" i="9"/>
  <c r="M98" i="9"/>
  <c r="M87" i="9"/>
  <c r="M88" i="9"/>
  <c r="M89" i="9"/>
  <c r="M45" i="9"/>
  <c r="M46" i="9"/>
  <c r="M47" i="9"/>
  <c r="M26" i="9"/>
  <c r="M55" i="9"/>
  <c r="M56" i="9"/>
  <c r="M57" i="9"/>
  <c r="M58" i="9"/>
  <c r="M59" i="9"/>
  <c r="M63" i="9"/>
  <c r="M64" i="9"/>
  <c r="M67" i="9"/>
  <c r="M80" i="9"/>
  <c r="M81" i="9"/>
  <c r="M82" i="9"/>
  <c r="M83" i="9"/>
  <c r="M84" i="9"/>
  <c r="M85" i="9"/>
  <c r="M86" i="9"/>
  <c r="M90" i="9"/>
  <c r="M91" i="9"/>
  <c r="M102" i="9"/>
  <c r="M43" i="9"/>
  <c r="M44" i="9"/>
  <c r="M20" i="9"/>
  <c r="M21" i="9"/>
  <c r="M22" i="9"/>
  <c r="M23" i="9"/>
  <c r="M24" i="9"/>
  <c r="M25" i="9"/>
  <c r="M7" i="9"/>
  <c r="M8" i="9"/>
  <c r="M9" i="9"/>
  <c r="M10" i="9"/>
  <c r="M14" i="9"/>
  <c r="M15" i="9"/>
  <c r="M16" i="9"/>
  <c r="D104" i="9"/>
  <c r="B84" i="3"/>
  <c r="B85" i="3" s="1"/>
  <c r="B132" i="9" s="1"/>
  <c r="B77" i="3"/>
  <c r="B78" i="3" s="1"/>
  <c r="B127" i="9" s="1"/>
  <c r="B72" i="3"/>
  <c r="B121" i="9" s="1"/>
  <c r="B71" i="3"/>
  <c r="D72" i="3" s="1"/>
  <c r="B69" i="3"/>
  <c r="B118" i="9" s="1"/>
  <c r="B62" i="3"/>
  <c r="B111" i="9" s="1"/>
  <c r="B59" i="3"/>
  <c r="B108" i="9" s="1"/>
  <c r="B137" i="9"/>
  <c r="B139" i="9"/>
  <c r="A59" i="3"/>
  <c r="A60" i="3" s="1"/>
  <c r="A62" i="3" s="1"/>
  <c r="M54" i="9"/>
  <c r="M31" i="9"/>
  <c r="M19" i="9"/>
  <c r="K3" i="9"/>
  <c r="K2" i="9"/>
  <c r="K2" i="3"/>
  <c r="K3" i="3"/>
  <c r="K7" i="7" l="1"/>
  <c r="K38" i="7"/>
  <c r="K37" i="7"/>
  <c r="K36" i="7"/>
  <c r="K35" i="7"/>
  <c r="K33" i="7"/>
  <c r="K32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3" i="7"/>
  <c r="K12" i="7"/>
  <c r="K10" i="7"/>
  <c r="K8" i="7"/>
  <c r="K31" i="7"/>
  <c r="K14" i="7"/>
  <c r="K11" i="7"/>
  <c r="K9" i="7"/>
  <c r="H15" i="7"/>
  <c r="H16" i="7"/>
  <c r="H19" i="7"/>
  <c r="H21" i="7"/>
  <c r="H25" i="7"/>
  <c r="H27" i="7"/>
  <c r="H30" i="7"/>
  <c r="H35" i="7"/>
  <c r="H37" i="7"/>
  <c r="H13" i="7"/>
  <c r="H43" i="7"/>
  <c r="H46" i="7"/>
  <c r="H49" i="7"/>
  <c r="H53" i="7"/>
  <c r="H56" i="7"/>
  <c r="H8" i="7"/>
  <c r="H10" i="7"/>
  <c r="H11" i="7"/>
  <c r="H40" i="7"/>
  <c r="H7" i="7"/>
  <c r="H12" i="7"/>
  <c r="H14" i="7"/>
  <c r="H17" i="7"/>
  <c r="H20" i="7"/>
  <c r="H23" i="7"/>
  <c r="H28" i="7"/>
  <c r="H31" i="7"/>
  <c r="H33" i="7"/>
  <c r="H39" i="7"/>
  <c r="H42" i="7"/>
  <c r="H45" i="7"/>
  <c r="H48" i="7"/>
  <c r="H51" i="7"/>
  <c r="H54" i="7"/>
  <c r="H9" i="7"/>
  <c r="H18" i="7"/>
  <c r="H22" i="7"/>
  <c r="H24" i="7"/>
  <c r="H26" i="7"/>
  <c r="H29" i="7"/>
  <c r="H32" i="7"/>
  <c r="H36" i="7"/>
  <c r="H38" i="7"/>
  <c r="H41" i="7"/>
  <c r="H44" i="7"/>
  <c r="H47" i="7"/>
  <c r="H50" i="7"/>
  <c r="H52" i="7"/>
  <c r="H55" i="7"/>
  <c r="K54" i="7"/>
  <c r="K53" i="7"/>
  <c r="K56" i="7"/>
  <c r="K55" i="7"/>
  <c r="K80" i="7"/>
  <c r="K72" i="7"/>
  <c r="K64" i="7"/>
  <c r="K79" i="7"/>
  <c r="K71" i="7"/>
  <c r="K63" i="7"/>
  <c r="K70" i="7"/>
  <c r="K67" i="7"/>
  <c r="K65" i="7"/>
  <c r="K78" i="7"/>
  <c r="K77" i="7"/>
  <c r="K69" i="7"/>
  <c r="K76" i="7"/>
  <c r="K68" i="7"/>
  <c r="K75" i="7"/>
  <c r="K73" i="7"/>
  <c r="K74" i="7"/>
  <c r="K66" i="7"/>
  <c r="H80" i="7"/>
  <c r="H68" i="7"/>
  <c r="H63" i="7"/>
  <c r="H78" i="7"/>
  <c r="H70" i="7"/>
  <c r="H77" i="7"/>
  <c r="H69" i="7"/>
  <c r="H76" i="7"/>
  <c r="H72" i="7"/>
  <c r="H64" i="7"/>
  <c r="H74" i="7"/>
  <c r="H66" i="7"/>
  <c r="H73" i="7"/>
  <c r="H65" i="7"/>
  <c r="H79" i="7"/>
  <c r="H75" i="7"/>
  <c r="H71" i="7"/>
  <c r="H67" i="7"/>
  <c r="H61" i="7"/>
  <c r="K45" i="7"/>
  <c r="K48" i="7"/>
  <c r="K44" i="7"/>
  <c r="K47" i="7"/>
  <c r="K46" i="7"/>
  <c r="K43" i="7"/>
  <c r="K61" i="7"/>
  <c r="K62" i="7"/>
  <c r="K50" i="7"/>
  <c r="K49" i="7"/>
  <c r="K39" i="7"/>
  <c r="K60" i="7"/>
  <c r="H60" i="7"/>
  <c r="B8" i="7"/>
  <c r="H62" i="7"/>
  <c r="B120" i="9"/>
  <c r="D121" i="9" s="1"/>
  <c r="K51" i="7"/>
  <c r="K41" i="7"/>
  <c r="K42" i="7"/>
  <c r="K40" i="7"/>
  <c r="K52" i="7"/>
  <c r="K6" i="7"/>
  <c r="H6" i="7"/>
  <c r="B10" i="7"/>
  <c r="B63" i="3"/>
  <c r="B112" i="9" s="1"/>
  <c r="B131" i="9"/>
  <c r="B60" i="3"/>
  <c r="B109" i="9" s="1"/>
  <c r="B126" i="9"/>
  <c r="A69" i="3"/>
  <c r="A63" i="3"/>
  <c r="A71" i="3"/>
  <c r="A72" i="3" s="1"/>
  <c r="K1" i="9"/>
  <c r="K1" i="3"/>
  <c r="L38" i="3" l="1"/>
  <c r="L37" i="3"/>
  <c r="L49" i="3"/>
  <c r="L45" i="3"/>
  <c r="L46" i="3"/>
  <c r="L47" i="3"/>
  <c r="L48" i="3"/>
  <c r="L50" i="3"/>
  <c r="L23" i="3"/>
  <c r="L21" i="3"/>
  <c r="L22" i="3"/>
  <c r="L24" i="3"/>
  <c r="L26" i="3"/>
  <c r="L25" i="3"/>
  <c r="L44" i="3"/>
  <c r="L36" i="3"/>
  <c r="L51" i="3"/>
  <c r="L32" i="3"/>
  <c r="L30" i="3"/>
  <c r="L35" i="3"/>
  <c r="L33" i="3"/>
  <c r="L31" i="3"/>
  <c r="L34" i="3"/>
  <c r="L39" i="3"/>
  <c r="L42" i="3"/>
  <c r="L40" i="3"/>
  <c r="L43" i="3"/>
  <c r="L41" i="3"/>
  <c r="L8" i="3"/>
  <c r="L62" i="9"/>
  <c r="L12" i="9"/>
  <c r="L73" i="9"/>
  <c r="L69" i="9"/>
  <c r="L40" i="9"/>
  <c r="L32" i="9"/>
  <c r="L77" i="9"/>
  <c r="L35" i="9"/>
  <c r="L61" i="9"/>
  <c r="L11" i="9"/>
  <c r="L76" i="9"/>
  <c r="L72" i="9"/>
  <c r="L68" i="9"/>
  <c r="L39" i="9"/>
  <c r="L71" i="9"/>
  <c r="L38" i="9"/>
  <c r="L60" i="9"/>
  <c r="L79" i="9"/>
  <c r="L42" i="9"/>
  <c r="L34" i="9"/>
  <c r="L75" i="9"/>
  <c r="L37" i="9"/>
  <c r="L13" i="9"/>
  <c r="L78" i="9"/>
  <c r="L74" i="9"/>
  <c r="L70" i="9"/>
  <c r="L41" i="9"/>
  <c r="L33" i="9"/>
  <c r="L36" i="9"/>
  <c r="L28" i="3"/>
  <c r="L14" i="3"/>
  <c r="L17" i="3"/>
  <c r="L20" i="3"/>
  <c r="L29" i="3"/>
  <c r="L15" i="3"/>
  <c r="L27" i="3"/>
  <c r="L18" i="3"/>
  <c r="L16" i="3"/>
  <c r="L19" i="3"/>
  <c r="L9" i="3"/>
  <c r="L7" i="3"/>
  <c r="L13" i="3"/>
  <c r="L12" i="3"/>
  <c r="L10" i="3"/>
  <c r="L11" i="3"/>
  <c r="L52" i="9"/>
  <c r="L53" i="9"/>
  <c r="L99" i="9"/>
  <c r="L100" i="9"/>
  <c r="L101" i="9"/>
  <c r="L48" i="9"/>
  <c r="L28" i="9"/>
  <c r="L49" i="9"/>
  <c r="L29" i="9"/>
  <c r="L50" i="9"/>
  <c r="L30" i="9"/>
  <c r="L51" i="9"/>
  <c r="L93" i="9"/>
  <c r="L52" i="3"/>
  <c r="L102" i="9"/>
  <c r="B11" i="7"/>
  <c r="L21" i="9"/>
  <c r="L26" i="9"/>
  <c r="L84" i="9"/>
  <c r="L43" i="9"/>
  <c r="L85" i="9"/>
  <c r="L57" i="9"/>
  <c r="L20" i="9"/>
  <c r="L58" i="9"/>
  <c r="L15" i="9"/>
  <c r="L81" i="9"/>
  <c r="L92" i="9"/>
  <c r="L89" i="9"/>
  <c r="L47" i="9"/>
  <c r="L90" i="9"/>
  <c r="L86" i="9"/>
  <c r="L94" i="9"/>
  <c r="L19" i="9"/>
  <c r="L44" i="9"/>
  <c r="L83" i="9"/>
  <c r="L63" i="9"/>
  <c r="L88" i="9"/>
  <c r="L82" i="9"/>
  <c r="L67" i="9"/>
  <c r="L96" i="9"/>
  <c r="L23" i="9"/>
  <c r="L46" i="9"/>
  <c r="L87" i="9"/>
  <c r="L55" i="9"/>
  <c r="L31" i="9"/>
  <c r="L95" i="9"/>
  <c r="L7" i="9"/>
  <c r="L97" i="9"/>
  <c r="L14" i="9"/>
  <c r="L10" i="9"/>
  <c r="L25" i="9"/>
  <c r="L9" i="9"/>
  <c r="L6" i="3"/>
  <c r="B6" i="3" s="1"/>
  <c r="L98" i="9"/>
  <c r="L27" i="9"/>
  <c r="L59" i="9"/>
  <c r="L54" i="9"/>
  <c r="L45" i="9"/>
  <c r="L22" i="9"/>
  <c r="L53" i="3"/>
  <c r="L91" i="9"/>
  <c r="L80" i="9"/>
  <c r="L56" i="9"/>
  <c r="L16" i="9"/>
  <c r="L17" i="9"/>
  <c r="L65" i="9"/>
  <c r="L18" i="9"/>
  <c r="L66" i="9"/>
  <c r="L6" i="9"/>
  <c r="B6" i="9" s="1"/>
  <c r="L24" i="9"/>
  <c r="L64" i="9"/>
  <c r="L8" i="9"/>
  <c r="A77" i="3"/>
  <c r="A78" i="3" s="1"/>
  <c r="A84" i="3"/>
  <c r="A85" i="3" s="1"/>
  <c r="B7" i="3" l="1"/>
  <c r="B8" i="3" s="1"/>
  <c r="N8" i="3" s="1"/>
  <c r="O8" i="3" s="1"/>
  <c r="B7" i="9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N7" i="9" l="1"/>
  <c r="O7" i="9" s="1"/>
  <c r="N11" i="9" l="1"/>
  <c r="O11" i="9" s="1"/>
  <c r="N8" i="9"/>
  <c r="O8" i="9" s="1"/>
  <c r="N13" i="9" l="1"/>
  <c r="O13" i="9" s="1"/>
  <c r="N12" i="9"/>
  <c r="O12" i="9" s="1"/>
  <c r="N9" i="9"/>
  <c r="O9" i="9" s="1"/>
  <c r="N10" i="9" l="1"/>
  <c r="O10" i="9" s="1"/>
  <c r="N14" i="9" l="1"/>
  <c r="O14" i="9" s="1"/>
  <c r="N15" i="9" l="1"/>
  <c r="O15" i="9" s="1"/>
  <c r="N16" i="9" l="1"/>
  <c r="O16" i="9" s="1"/>
  <c r="N17" i="9" l="1"/>
  <c r="O17" i="9" s="1"/>
  <c r="N18" i="9" l="1"/>
  <c r="O18" i="9" s="1"/>
  <c r="N19" i="9" l="1"/>
  <c r="O19" i="9" s="1"/>
  <c r="N20" i="9" l="1"/>
  <c r="O20" i="9" s="1"/>
  <c r="N21" i="9" l="1"/>
  <c r="O21" i="9" s="1"/>
  <c r="N7" i="3" l="1"/>
  <c r="O7" i="3" s="1"/>
  <c r="B9" i="3"/>
  <c r="N22" i="9"/>
  <c r="O22" i="9" s="1"/>
  <c r="B10" i="3" l="1"/>
  <c r="N9" i="3"/>
  <c r="O9" i="3" s="1"/>
  <c r="N23" i="9"/>
  <c r="O23" i="9" s="1"/>
  <c r="B11" i="3" l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N10" i="3"/>
  <c r="O10" i="3" s="1"/>
  <c r="N24" i="9"/>
  <c r="O24" i="9" s="1"/>
  <c r="B36" i="3" l="1"/>
  <c r="B37" i="3" s="1"/>
  <c r="N11" i="3"/>
  <c r="O11" i="3" s="1"/>
  <c r="N32" i="9"/>
  <c r="O32" i="9" s="1"/>
  <c r="N25" i="9"/>
  <c r="O25" i="9" s="1"/>
  <c r="B38" i="3" l="1"/>
  <c r="N37" i="3"/>
  <c r="O37" i="3" s="1"/>
  <c r="N33" i="9"/>
  <c r="O33" i="9" s="1"/>
  <c r="N26" i="9"/>
  <c r="O26" i="9" s="1"/>
  <c r="N27" i="9"/>
  <c r="O27" i="9" s="1"/>
  <c r="B39" i="3" l="1"/>
  <c r="N38" i="3"/>
  <c r="O38" i="3" s="1"/>
  <c r="N34" i="9"/>
  <c r="O34" i="9" s="1"/>
  <c r="N28" i="9"/>
  <c r="O28" i="9" s="1"/>
  <c r="N39" i="3" l="1"/>
  <c r="O39" i="3" s="1"/>
  <c r="B40" i="3"/>
  <c r="N35" i="9"/>
  <c r="O35" i="9" s="1"/>
  <c r="N40" i="3" l="1"/>
  <c r="O40" i="3" s="1"/>
  <c r="B41" i="3"/>
  <c r="B42" i="3" s="1"/>
  <c r="N36" i="9"/>
  <c r="O36" i="9" s="1"/>
  <c r="N29" i="9"/>
  <c r="O29" i="9" s="1"/>
  <c r="B43" i="3" l="1"/>
  <c r="N42" i="3"/>
  <c r="O42" i="3" s="1"/>
  <c r="N37" i="9"/>
  <c r="O37" i="9" s="1"/>
  <c r="N30" i="9"/>
  <c r="O30" i="9" s="1"/>
  <c r="N43" i="3" l="1"/>
  <c r="O43" i="3" s="1"/>
  <c r="B44" i="3"/>
  <c r="N38" i="9"/>
  <c r="O38" i="9" s="1"/>
  <c r="B45" i="3" l="1"/>
  <c r="N44" i="3"/>
  <c r="O44" i="3" s="1"/>
  <c r="N12" i="3"/>
  <c r="O12" i="3" s="1"/>
  <c r="N39" i="9"/>
  <c r="O39" i="9" s="1"/>
  <c r="B46" i="3" l="1"/>
  <c r="N45" i="3"/>
  <c r="O45" i="3" s="1"/>
  <c r="N13" i="3"/>
  <c r="O13" i="3" s="1"/>
  <c r="N40" i="9"/>
  <c r="O40" i="9" s="1"/>
  <c r="N46" i="3" l="1"/>
  <c r="O46" i="3" s="1"/>
  <c r="B47" i="3"/>
  <c r="N21" i="3"/>
  <c r="O21" i="3" s="1"/>
  <c r="N22" i="3"/>
  <c r="O22" i="3" s="1"/>
  <c r="N14" i="3"/>
  <c r="N41" i="9"/>
  <c r="O41" i="9" s="1"/>
  <c r="N47" i="3" l="1"/>
  <c r="O47" i="3" s="1"/>
  <c r="B48" i="3"/>
  <c r="N15" i="3"/>
  <c r="B49" i="3" l="1"/>
  <c r="N48" i="3"/>
  <c r="O48" i="3" s="1"/>
  <c r="N24" i="3"/>
  <c r="O24" i="3" s="1"/>
  <c r="N23" i="3"/>
  <c r="O23" i="3" s="1"/>
  <c r="N16" i="3"/>
  <c r="N42" i="9"/>
  <c r="O42" i="9" s="1"/>
  <c r="O14" i="3"/>
  <c r="B50" i="3" l="1"/>
  <c r="N49" i="3"/>
  <c r="O49" i="3" s="1"/>
  <c r="N17" i="3"/>
  <c r="O15" i="3"/>
  <c r="N31" i="9"/>
  <c r="O31" i="9" s="1"/>
  <c r="N50" i="3" l="1"/>
  <c r="O50" i="3" s="1"/>
  <c r="B51" i="3"/>
  <c r="B52" i="3" s="1"/>
  <c r="B53" i="3" s="1"/>
  <c r="N26" i="3"/>
  <c r="O26" i="3" s="1"/>
  <c r="N25" i="3"/>
  <c r="O25" i="3" s="1"/>
  <c r="N18" i="3"/>
  <c r="O16" i="3"/>
  <c r="N43" i="9"/>
  <c r="O43" i="9" s="1"/>
  <c r="N19" i="3" l="1"/>
  <c r="O17" i="3"/>
  <c r="N44" i="9"/>
  <c r="O44" i="9" s="1"/>
  <c r="N20" i="3" l="1"/>
  <c r="O18" i="3"/>
  <c r="N45" i="9"/>
  <c r="O45" i="9" s="1"/>
  <c r="N27" i="3" l="1"/>
  <c r="N68" i="9"/>
  <c r="O68" i="9" s="1"/>
  <c r="O19" i="3"/>
  <c r="N46" i="9"/>
  <c r="O46" i="9" s="1"/>
  <c r="N69" i="9" l="1"/>
  <c r="O69" i="9" s="1"/>
  <c r="O20" i="3"/>
  <c r="N48" i="9"/>
  <c r="O48" i="9" s="1"/>
  <c r="N47" i="9"/>
  <c r="O47" i="9" s="1"/>
  <c r="N28" i="3" l="1"/>
  <c r="N70" i="9"/>
  <c r="O70" i="9" s="1"/>
  <c r="O27" i="3"/>
  <c r="N49" i="9"/>
  <c r="O49" i="9" s="1"/>
  <c r="N30" i="3" l="1"/>
  <c r="O30" i="3" s="1"/>
  <c r="N29" i="3"/>
  <c r="O29" i="3" s="1"/>
  <c r="N71" i="9"/>
  <c r="O71" i="9" s="1"/>
  <c r="O28" i="3"/>
  <c r="N31" i="3" l="1"/>
  <c r="O31" i="3" s="1"/>
  <c r="N72" i="9"/>
  <c r="O72" i="9" s="1"/>
  <c r="N50" i="9"/>
  <c r="O50" i="9" s="1"/>
  <c r="N32" i="3" l="1"/>
  <c r="O32" i="3" s="1"/>
  <c r="N73" i="9"/>
  <c r="O73" i="9" s="1"/>
  <c r="N51" i="9"/>
  <c r="O51" i="9" s="1"/>
  <c r="N33" i="3" l="1"/>
  <c r="O33" i="3" s="1"/>
  <c r="N74" i="9"/>
  <c r="O74" i="9" s="1"/>
  <c r="N52" i="9"/>
  <c r="O52" i="9" s="1"/>
  <c r="N34" i="3" l="1"/>
  <c r="O34" i="3" s="1"/>
  <c r="N75" i="9"/>
  <c r="O75" i="9" s="1"/>
  <c r="N53" i="9"/>
  <c r="O53" i="9" s="1"/>
  <c r="N76" i="9" l="1"/>
  <c r="O76" i="9" s="1"/>
  <c r="N77" i="9" l="1"/>
  <c r="O77" i="9" s="1"/>
  <c r="N54" i="9"/>
  <c r="O54" i="9" s="1"/>
  <c r="N78" i="9" l="1"/>
  <c r="O78" i="9" s="1"/>
  <c r="N55" i="9"/>
  <c r="O55" i="9" s="1"/>
  <c r="N60" i="9" l="1"/>
  <c r="O60" i="9" s="1"/>
  <c r="N56" i="9"/>
  <c r="O56" i="9" s="1"/>
  <c r="N36" i="3" l="1"/>
  <c r="O36" i="3" s="1"/>
  <c r="N62" i="9"/>
  <c r="O62" i="9" s="1"/>
  <c r="N61" i="9"/>
  <c r="O61" i="9" s="1"/>
  <c r="N57" i="9"/>
  <c r="O57" i="9" s="1"/>
  <c r="N58" i="9" l="1"/>
  <c r="O58" i="9" s="1"/>
  <c r="N35" i="3" l="1"/>
  <c r="O35" i="3" s="1"/>
  <c r="N59" i="9"/>
  <c r="O59" i="9" s="1"/>
  <c r="N63" i="9" l="1"/>
  <c r="O63" i="9" s="1"/>
  <c r="N64" i="9" l="1"/>
  <c r="O64" i="9" s="1"/>
  <c r="N79" i="9" l="1"/>
  <c r="O79" i="9" s="1"/>
  <c r="N65" i="9"/>
  <c r="O65" i="9" s="1"/>
  <c r="N41" i="3" l="1"/>
  <c r="O41" i="3" s="1"/>
  <c r="N66" i="9"/>
  <c r="O66" i="9" s="1"/>
  <c r="N67" i="9" l="1"/>
  <c r="O67" i="9" s="1"/>
  <c r="N80" i="9" l="1"/>
  <c r="O80" i="9" s="1"/>
  <c r="N81" i="9" l="1"/>
  <c r="O81" i="9" s="1"/>
  <c r="N51" i="3" l="1"/>
  <c r="O51" i="3" s="1"/>
  <c r="N82" i="9"/>
  <c r="O82" i="9" s="1"/>
  <c r="N53" i="3" l="1"/>
  <c r="O53" i="3" s="1"/>
  <c r="N52" i="3"/>
  <c r="O52" i="3" s="1"/>
  <c r="N83" i="9"/>
  <c r="O83" i="9" s="1"/>
  <c r="N84" i="9" l="1"/>
  <c r="O84" i="9" s="1"/>
  <c r="N85" i="9" l="1"/>
  <c r="O85" i="9" s="1"/>
  <c r="N86" i="9" l="1"/>
  <c r="O86" i="9" s="1"/>
  <c r="N87" i="9" l="1"/>
  <c r="O87" i="9" s="1"/>
  <c r="N88" i="9" l="1"/>
  <c r="O88" i="9" s="1"/>
  <c r="N89" i="9" l="1"/>
  <c r="O89" i="9" s="1"/>
  <c r="N90" i="9" l="1"/>
  <c r="O90" i="9" s="1"/>
  <c r="N91" i="9" l="1"/>
  <c r="O91" i="9" s="1"/>
  <c r="N92" i="9" l="1"/>
  <c r="O92" i="9" s="1"/>
  <c r="N93" i="9" l="1"/>
  <c r="O93" i="9" s="1"/>
  <c r="N94" i="9" l="1"/>
  <c r="O94" i="9" s="1"/>
  <c r="N95" i="9" l="1"/>
  <c r="O95" i="9" s="1"/>
  <c r="N96" i="9" l="1"/>
  <c r="O96" i="9" s="1"/>
  <c r="N99" i="9" l="1"/>
  <c r="O99" i="9" s="1"/>
  <c r="N97" i="9"/>
  <c r="O97" i="9" s="1"/>
  <c r="N101" i="9" l="1"/>
  <c r="O101" i="9" s="1"/>
  <c r="N98" i="9"/>
  <c r="O98" i="9" s="1"/>
  <c r="N100" i="9" l="1"/>
  <c r="O100" i="9" s="1"/>
  <c r="N102" i="9" l="1"/>
  <c r="O102" i="9" s="1"/>
</calcChain>
</file>

<file path=xl/sharedStrings.xml><?xml version="1.0" encoding="utf-8"?>
<sst xmlns="http://schemas.openxmlformats.org/spreadsheetml/2006/main" count="982" uniqueCount="300">
  <si>
    <t>Pages</t>
  </si>
  <si>
    <t>% Complete</t>
  </si>
  <si>
    <t>Total Pages</t>
  </si>
  <si>
    <t>Completed Pages</t>
  </si>
  <si>
    <t>Actual Finish Date</t>
  </si>
  <si>
    <t>Completed?</t>
  </si>
  <si>
    <t>Duration (Days)</t>
  </si>
  <si>
    <t>Proj Pace</t>
  </si>
  <si>
    <t>Your Pace</t>
  </si>
  <si>
    <t>A/P</t>
  </si>
  <si>
    <t>No</t>
  </si>
  <si>
    <t>Syllabus Source</t>
  </si>
  <si>
    <t>Lesson</t>
  </si>
  <si>
    <t>Number</t>
  </si>
  <si>
    <t>Seminar Section</t>
  </si>
  <si>
    <t>Seminar Subsection</t>
  </si>
  <si>
    <t>Syllabus Section</t>
  </si>
  <si>
    <t>Don't get too bogged down in model solutions—try to keep moving</t>
  </si>
  <si>
    <t>Refer to the detailed study manual, videos, and source material for clarification as needed</t>
  </si>
  <si>
    <r>
      <t xml:space="preserve">Projected </t>
    </r>
    <r>
      <rPr>
        <b/>
        <u/>
        <sz val="11"/>
        <color theme="0"/>
        <rFont val="Calibri"/>
        <family val="2"/>
        <scheme val="minor"/>
      </rPr>
      <t>Finish</t>
    </r>
    <r>
      <rPr>
        <b/>
        <sz val="11"/>
        <color theme="0"/>
        <rFont val="Calibri"/>
        <family val="2"/>
        <scheme val="minor"/>
      </rPr>
      <t xml:space="preserve"> Date</t>
    </r>
  </si>
  <si>
    <t>Introduction</t>
  </si>
  <si>
    <t>Complete introduction section of online seminar</t>
  </si>
  <si>
    <t>Use older (2012 and earlier) SOA exam problems to get topic-specific practice and get a feel for the question format</t>
  </si>
  <si>
    <t>Continue using all the way up through the exam date (but be sure to get a good night's rest before the exam!)</t>
  </si>
  <si>
    <t>Use flash cards and/or condensed outlines</t>
  </si>
  <si>
    <t>Days</t>
  </si>
  <si>
    <t>Day Factor</t>
  </si>
  <si>
    <t>Start Date</t>
  </si>
  <si>
    <t>Max End Date</t>
  </si>
  <si>
    <t>Target Days</t>
  </si>
  <si>
    <t>Ideal Days</t>
  </si>
  <si>
    <t>Ideal End Date</t>
  </si>
  <si>
    <t>Target End Date</t>
  </si>
  <si>
    <t>Padding</t>
  </si>
  <si>
    <t>Max Available Days</t>
  </si>
  <si>
    <t>Developed by The Infinite Actuary</t>
  </si>
  <si>
    <t>spreadsheet will adjust the dates in the "first pass" section. The date formula is designed to distribute</t>
  </si>
  <si>
    <t>your time over the lessons in proportion to the relative time we think the typical person should spend</t>
  </si>
  <si>
    <t>The dates in this spreadsheet are merely a suggestion. Feel free to alter this spreadsheet in any way</t>
  </si>
  <si>
    <t>Time Tracking Features</t>
  </si>
  <si>
    <t>Tracking Progress</t>
  </si>
  <si>
    <t>you like to suit your own study style and preferences. The order of the lessons matches the order</t>
  </si>
  <si>
    <t>presented in the online seminar, and we feel that this is the most logical order to study the syllabus readings</t>
  </si>
  <si>
    <t>in an effort to make the most efficient use of your study time and increase your chances of passing.</t>
  </si>
  <si>
    <t>As you complete each reading, simply enter in the date you finished the reading in the Actual Finish Date</t>
  </si>
  <si>
    <t>The far left columns keep track of your total pages read vs. the established pace. The Tracking tab</t>
  </si>
  <si>
    <t>Reminder:</t>
  </si>
  <si>
    <t>provides a visual view of progress. If the blue line is above the green line you are ahead of schedule</t>
  </si>
  <si>
    <t>If the blue line is above the green line, you are ahead of schedule based on page count.</t>
  </si>
  <si>
    <t>based on page count.</t>
  </si>
  <si>
    <t>Duncan, Healthcare Risk Adjustment and Predictive Modeling, Ch 14</t>
  </si>
  <si>
    <t>MCCSR Calculation - GHS 108-14</t>
  </si>
  <si>
    <t>ERM Article</t>
  </si>
  <si>
    <t>Definitions of Risk - Financial ERM, Ch 7</t>
  </si>
  <si>
    <t>Risk Identification - Financial ERM, Ch 8</t>
  </si>
  <si>
    <t>Economic Capital - Financial ERM, Ch 18</t>
  </si>
  <si>
    <t>Understanding ORSA</t>
  </si>
  <si>
    <t>ASOP 46 - Risk Evaluation in ERM</t>
  </si>
  <si>
    <t>Risk Adjustment in Medicare - Pred. Modeling, Ch 14</t>
  </si>
  <si>
    <t>Work Section 1 Drill Problems, Review Formulas</t>
  </si>
  <si>
    <t>Work Section 2 Drill Problems, Review Formulas</t>
  </si>
  <si>
    <t>Work Section 3 Drill Problems, Review Formulas</t>
  </si>
  <si>
    <t>Duncan, Healthcare Risk Adjustment and Predictive Modeling, Ch 5</t>
  </si>
  <si>
    <t>Risk Adjustment</t>
  </si>
  <si>
    <t>https://www.soa.org/education/exam-req/edu-exam-group-health-specialty.aspx</t>
  </si>
  <si>
    <t>Do something fun, relax, and enjoy your first weekend off in a LONG time! You're FREE!!!!!</t>
  </si>
  <si>
    <t>TAKE EXAM  &lt;&lt;  You probably don't want to forget this one.</t>
  </si>
  <si>
    <t>Double Speed</t>
  </si>
  <si>
    <t>The analysis of past exams is posted on the seminar page and breaks questions down by source</t>
  </si>
  <si>
    <t>-</t>
  </si>
  <si>
    <t xml:space="preserve">Review material you struggled with on the first pass, Start memorizing flash cards, Quick pass of material </t>
  </si>
  <si>
    <t>Focus on key areas where you struggled, begin to memorize lists and formulas, rewatch videos, rework drill problems and skim detailed or condensed outline in 2 week period</t>
  </si>
  <si>
    <t>Review flash cards, old exams, problematic topics</t>
  </si>
  <si>
    <t>Complete another quick pass of videos and materials where you feel you need help in 2 week period</t>
  </si>
  <si>
    <t>Allocate time after taking the exam to grade your answers while the information is still fresh in your mind</t>
  </si>
  <si>
    <t>Final pass of material, memorize hard lists and flash cards, review difficult problems</t>
  </si>
  <si>
    <t>Review condensed outline materials, watch videos on difficult topics, review sample problems that you don't fully understand</t>
  </si>
  <si>
    <t>If time permits, try to brainstorm potential exam questions to pull together your own understanding of how topics could fit together</t>
  </si>
  <si>
    <t>Practice time management under pressure (3 mins per point, keep moving)</t>
  </si>
  <si>
    <t>Iterative process often works for students to go through lists and chapters over and over again, faster and faster each time</t>
  </si>
  <si>
    <t>Should be able to list most information from most of the flash cards with little assistance</t>
  </si>
  <si>
    <t>Reinsurance - GHS 117-16</t>
  </si>
  <si>
    <t>MCCSR - GHS 107-16</t>
  </si>
  <si>
    <t>ASOP 23 - Data Quality</t>
  </si>
  <si>
    <t>ASOP 41 - Actuarial Communications</t>
  </si>
  <si>
    <t>ASOP 41</t>
  </si>
  <si>
    <t>ASOP 23</t>
  </si>
  <si>
    <t>Medicaid Risk Adjustment - Pred. Modeling, Ch 13</t>
  </si>
  <si>
    <t>ERM - GHS 121-18</t>
  </si>
  <si>
    <t>Why Are Many CO-OPs Failing - GHS 122-18</t>
  </si>
  <si>
    <t>ASOP 47 - Risk Treatment in ERM</t>
  </si>
  <si>
    <t>Risk Adjustment on ACA Exchanges - Pred. Modeling, Ch 21</t>
  </si>
  <si>
    <t>Duncan, Healthcare Risk Adjustment and Predictive Modeling, Ch 21</t>
  </si>
  <si>
    <t>Claims and Disease Mgmt</t>
  </si>
  <si>
    <t>Duncan, Healthcare Intervention, Ch. 3</t>
  </si>
  <si>
    <t>Care Mgmt Programs and Interventions</t>
  </si>
  <si>
    <t>Understanding the Economics of Care Mgmt Programs</t>
  </si>
  <si>
    <t>Applying the Economic Model - Opportunity Analysis</t>
  </si>
  <si>
    <t>Use of Propensity Scoring in Program Evaluation</t>
  </si>
  <si>
    <t>Actuarial Method for Evaluating Care Mgmt Outcomes</t>
  </si>
  <si>
    <t>Understanding Patient Risk and Impact on Trends</t>
  </si>
  <si>
    <t>RBC Calculation Examples - GHS 128-19</t>
  </si>
  <si>
    <t>ORSA Manual - GHS 116-19</t>
  </si>
  <si>
    <t>ASOP 45 - Health Based Risk Adjustment</t>
  </si>
  <si>
    <t>ASOP 45</t>
  </si>
  <si>
    <t>Duncan, Healthcare Intervention, Ch. 8</t>
  </si>
  <si>
    <t>Duncan, Healthcare Intervention, Ch. 9</t>
  </si>
  <si>
    <t>Duncan, Healthcare Intervention, Ch. 11</t>
  </si>
  <si>
    <t>Duncan, Healthcare Intervention, Ch. 12</t>
  </si>
  <si>
    <t>Duncan, Healthcare Intervention, Ch. 13</t>
  </si>
  <si>
    <t>ASOP 55 - Capital Adequacy Assessment</t>
  </si>
  <si>
    <t>with each lesson. The formula is designed to cap the first pass end date at the end of 65% of your study</t>
  </si>
  <si>
    <t xml:space="preserve">period to ensure you have plenty of time for key tasks in the final month before the exam. These are </t>
  </si>
  <si>
    <t>listed at the bottom of the schedule.</t>
  </si>
  <si>
    <t>After you register with the SOA, you will then have to register with the computer center, Prometric.  Spots may fill up, so do this ASAP!</t>
  </si>
  <si>
    <t>Valuation of Care Management Vendors</t>
  </si>
  <si>
    <t>Risk Adjustment and Market Stabilization</t>
  </si>
  <si>
    <t>Creating Stability in Unstabled Times: Risk Adjustment and Market Stabilization</t>
  </si>
  <si>
    <t>With the new syllabus changes, you may need to pull questions from various former exams to put together a "full length" practice from prior exams</t>
  </si>
  <si>
    <t>Write out answers to flash cards as much as possible to practice recall</t>
  </si>
  <si>
    <t>Today Feature in TIA Webpage/App</t>
  </si>
  <si>
    <t xml:space="preserve">an integrated study schedule designed to keep you on track and let you know what to do each day </t>
  </si>
  <si>
    <t>(i.e. what to do "today" when you log in each day).  This interactive scheduler will lay out your suggested</t>
  </si>
  <si>
    <t xml:space="preserve">schedule based on your remaining study days, specified days of the week when you want to study and </t>
  </si>
  <si>
    <t>want to rest, based on your progress to that point and what you still need to complete.</t>
  </si>
  <si>
    <t>The Today feature is an extremely helpful tool in planning your time and study schedule for the sitting.</t>
  </si>
  <si>
    <t xml:space="preserve">We realize that this spreadsheet will not match exactly to the TIA Today feature.  It is up to you what </t>
  </si>
  <si>
    <t xml:space="preserve">you prefer to use.  The Today feature allows for more flexibility and inputs, but we also know some </t>
  </si>
  <si>
    <t xml:space="preserve">students like the spreadsheets and may be used to this from prior sittings.  </t>
  </si>
  <si>
    <t>Bottom line - both are great tools, so the choice is yours on which one to use.</t>
  </si>
  <si>
    <t>column, and mark the reading as Complete = "Yes" in the "Completed?" column.</t>
  </si>
  <si>
    <t>Risk-Based Capital - Group, Ch 41 - GHS 130-22</t>
  </si>
  <si>
    <t>ERM-Health Risk Controls - GHS 131-22</t>
  </si>
  <si>
    <t>Risks of Pricing New Products: LTC - GHS 122-18</t>
  </si>
  <si>
    <t>COVID ORSA Guide - GHS 132-22</t>
  </si>
  <si>
    <t>Changing With The Times - ACA Risk Adj</t>
  </si>
  <si>
    <t>Changing With The Times - The Past and Future of ACA Risk Adjustment</t>
  </si>
  <si>
    <t>Save newer exams (2014-2022) for last two weeks</t>
  </si>
  <si>
    <t>Become extremely familiar with the exam-day process (e.g. read-through/break time, SOA Guide to Written Answer Exams, etc)</t>
  </si>
  <si>
    <t>Allocate half days to take the exams for 2014 - 2022 under real exam conditions - 2 hr 15 min exam, no breaks</t>
  </si>
  <si>
    <t>and was developed by The Infinite Actuary.</t>
  </si>
  <si>
    <t>Environment of EE Benefit Plans</t>
  </si>
  <si>
    <t>Functional Approach to Designing and Evaluating EE Bfts</t>
  </si>
  <si>
    <t>Selected Additional Benefits</t>
  </si>
  <si>
    <t>Strategic Benefit Plan Management</t>
  </si>
  <si>
    <t>Cafeteria Plan Design and Administration</t>
  </si>
  <si>
    <t>Employee Benefit Plans for Small Companies</t>
  </si>
  <si>
    <t>Private Exchanges</t>
  </si>
  <si>
    <t>Health Plan Payroll Contributions - GHRM 101-23</t>
  </si>
  <si>
    <t>Recommend an Employee Benefits Strategy - GHRM 102-23</t>
  </si>
  <si>
    <t>Flexible Accounts - GHRM 103-23 Part 1</t>
  </si>
  <si>
    <t>Adverse Selection - GHRM 103-23 Part 2</t>
  </si>
  <si>
    <t>Consumers to the Rescue?  HDHPs and HSAs</t>
  </si>
  <si>
    <t>Value-Based Care Framework</t>
  </si>
  <si>
    <t>Cost of Value-Based Care</t>
  </si>
  <si>
    <t>Provider Payment Arrangements</t>
  </si>
  <si>
    <t>Bundled Payment Contracting - GHRM 104-23</t>
  </si>
  <si>
    <t>Avoiding Unintended Incentives in ACO Payment Models - GHRM 105-23</t>
  </si>
  <si>
    <t>ACO Savings Calculation - Risk Adjustment, Ch. 22</t>
  </si>
  <si>
    <t>Value Based Pharmacy:  Canadian Example - GHRM 108-23</t>
  </si>
  <si>
    <t>Episode-Based Phyisican Profiling - GHRM 106-23</t>
  </si>
  <si>
    <t>Physician Cost Profiling - GHRM 107-23</t>
  </si>
  <si>
    <t>Tiering in Healthcare - GHRM 109-23</t>
  </si>
  <si>
    <t>Provider Networks - Group, Ch. 45 - GHRM 114-23</t>
  </si>
  <si>
    <t>Testing Actuarial Methods for Evaluating DM Savings Outcomes</t>
  </si>
  <si>
    <t>End of Life Outcomes with or without Early Palliative Care - GHRM 110-23</t>
  </si>
  <si>
    <t>Early Intervention of Palliative Care During COVID-19 - GHRM 111-23</t>
  </si>
  <si>
    <t>Risk Adjustment in State Medicaid Programs</t>
  </si>
  <si>
    <t>HHS-Operated Risk Adjustment - GHRM 112-23</t>
  </si>
  <si>
    <t>Reinsurance - GHRM 113-23</t>
  </si>
  <si>
    <t>Work Section 4 Drill Problems, Review Formulas</t>
  </si>
  <si>
    <t>4. Risk Adjustment</t>
  </si>
  <si>
    <t>3. Claims and Disease Management</t>
  </si>
  <si>
    <t>1. Employee Benefits Strategy</t>
  </si>
  <si>
    <t>EE Bft Strategy</t>
  </si>
  <si>
    <t>Rosenbloom, Handbook of EE Bft, Ch. 1</t>
  </si>
  <si>
    <t>Rosenbloom, Handbook of EE Bft, Ch. 2</t>
  </si>
  <si>
    <t>Rosenbloom, Handbook of EE Bft, Ch. 18</t>
  </si>
  <si>
    <t>Rosenbloom, Handbook of EE Bft, Ch. 24</t>
  </si>
  <si>
    <t>Rosenbloom, Handbook of EE Bft, Ch. 25</t>
  </si>
  <si>
    <t>Rosenbloom, Handbook of EE Bft, Ch. 32</t>
  </si>
  <si>
    <t>GHRM 102-23:  Recommend an Employee Benefits Strategy</t>
  </si>
  <si>
    <t>Practical Guide to Private Exchanges</t>
  </si>
  <si>
    <t>GHRM 103-23:  Part 1 - McKay, Canadian Hbk. of Flex Bft, Ch. 7</t>
  </si>
  <si>
    <t>GHRM 103-23:  Part 2 - McKay, Canadian Hbk. of Flex Bft, Ch. 16</t>
  </si>
  <si>
    <t>GHRM 101-23:  Health Plan Payroll Contribution Strategies</t>
  </si>
  <si>
    <t>2. Provider Reimbursement</t>
  </si>
  <si>
    <t>Provider Reimbursement</t>
  </si>
  <si>
    <t>Skwire, Group Insurance, Ch 45</t>
  </si>
  <si>
    <t>GHRM 104-23:  Evaluating Bundled Payment Contracting</t>
  </si>
  <si>
    <t>Duncan, Healthcare Risk Adjustment, Ch. 22</t>
  </si>
  <si>
    <t>GHRM 105-23:  Avoiding Unintended Incentives in ACO Payment Models</t>
  </si>
  <si>
    <t>Provider Payment Arrangements, Provider Risk, and Their Relationship with Cost of Health Care</t>
  </si>
  <si>
    <t>GHRM 108-23:  Value Based Pharmacy:  A Canadian Example Options</t>
  </si>
  <si>
    <t>GHRM 106-23:  Episode-Based Phyisican Profiling:  A Guide to the Perplexing</t>
  </si>
  <si>
    <t>GHRM 107-23:  Physician Cost Profiling:  Reliability and Risk of Misclassification</t>
  </si>
  <si>
    <t>GHRM 109-23:  The Application of Tiering of Healthcare (TNHPs)</t>
  </si>
  <si>
    <t>Duncan, Healthcare Intervention, Ch. 16</t>
  </si>
  <si>
    <t>GHRM 110-23 - End of Life Outcomes with or without Early Palliative Care</t>
  </si>
  <si>
    <t>GHRM 111-23 - Early Intervention of Palliative Care During COVID-19</t>
  </si>
  <si>
    <t>GHRM 113-23:  Life &amp; Health and Annuity Reinsurance</t>
  </si>
  <si>
    <t>GHRM 112-23:  HHS-Operated Risk Adj Methodology</t>
  </si>
  <si>
    <t>Yes</t>
  </si>
  <si>
    <r>
      <t>Within the options available in the TIA study platform and app, you will see a feature called "</t>
    </r>
    <r>
      <rPr>
        <b/>
        <sz val="11"/>
        <color theme="1"/>
        <rFont val="Calibri"/>
        <family val="2"/>
        <scheme val="minor"/>
      </rPr>
      <t>Today</t>
    </r>
    <r>
      <rPr>
        <sz val="11"/>
        <color theme="1"/>
        <rFont val="Calibri"/>
        <family val="2"/>
        <scheme val="minor"/>
      </rPr>
      <t>."  This is</t>
    </r>
  </si>
  <si>
    <t>Work Section 5 Drill Problems, Review Formulas</t>
  </si>
  <si>
    <t>*3 minutes per point rule - this is based on prior exam structure.  However, it's still a good rule of thumb to get through the exam and have time to review at the end.  The SOA has</t>
  </si>
  <si>
    <t>stated that the exam questions will still be written as if it were a 2.5 hr exam, hopefully allowing a little bit of time to go back to specific questions with the additional time at the end</t>
  </si>
  <si>
    <t>https://www.soa.org/education/exam-req/fsa2025/cp-321/</t>
  </si>
  <si>
    <t>As this is a new exam, you will need to pull questions from various former exams to put together a "full length" practice from prior exams</t>
  </si>
  <si>
    <t>1. Plan and Product Provisions</t>
  </si>
  <si>
    <t>2. Manual Rates</t>
  </si>
  <si>
    <t>3. Reserving</t>
  </si>
  <si>
    <t>4. Financial Statements</t>
  </si>
  <si>
    <t>5. Asset Adequacy</t>
  </si>
  <si>
    <t>6. Retiree Group Benefits</t>
  </si>
  <si>
    <t>Group Disability Income Benefits</t>
  </si>
  <si>
    <t>History of LTC Products</t>
  </si>
  <si>
    <t>Hybrid Life and Long-Term Care Products</t>
  </si>
  <si>
    <t>Government Health Plans in the United States</t>
  </si>
  <si>
    <t>Individual Products</t>
  </si>
  <si>
    <t>Critical Illness Turns 40!</t>
  </si>
  <si>
    <t>Skwire, Group Insurance, Ch. 12</t>
  </si>
  <si>
    <t>Eaton, Insuring Long-Term Care, Ch. 2</t>
  </si>
  <si>
    <t>Eaton, Insuring Long-Term Care, Ch. 4</t>
  </si>
  <si>
    <t>Skwire, Group Insurance, Ch. 9</t>
  </si>
  <si>
    <t>Skwire, Group Insurance, Ch. 25</t>
  </si>
  <si>
    <t>Skwire, Group Insurance, Ch. 29 (p. 509-510)</t>
  </si>
  <si>
    <t>CP321-102-25</t>
  </si>
  <si>
    <t>Short Term Disability Example</t>
  </si>
  <si>
    <t>CP321-100-25</t>
  </si>
  <si>
    <t>Eaton, Insuring LTC, Ch. 9</t>
  </si>
  <si>
    <t>Eaton, Insuring LTC, Ch. 10</t>
  </si>
  <si>
    <t>CP321-101-25</t>
  </si>
  <si>
    <t>ASOP 18</t>
  </si>
  <si>
    <t>ASOP 18 - Long-Term Care Insurance</t>
  </si>
  <si>
    <t>Skwire, Group Insurance, Ch. 40</t>
  </si>
  <si>
    <t>Bluhm &amp; Leida, Individual Health Insurance, Ch. 6</t>
  </si>
  <si>
    <t>CP321-104-25</t>
  </si>
  <si>
    <t>CP321-105-25</t>
  </si>
  <si>
    <t>Plan Provisions</t>
  </si>
  <si>
    <t>Manual Rates</t>
  </si>
  <si>
    <t>Reserving</t>
  </si>
  <si>
    <t>Financial Statements</t>
  </si>
  <si>
    <t>CP321-106-25</t>
  </si>
  <si>
    <t>CP321-107-25</t>
  </si>
  <si>
    <t>Asset Adequacy</t>
  </si>
  <si>
    <t xml:space="preserve">CP321-108-25 </t>
  </si>
  <si>
    <t xml:space="preserve">CP321-109-25 </t>
  </si>
  <si>
    <t>ASOP 22</t>
  </si>
  <si>
    <t>ASOP 22 - Asset Adequacy Analysis</t>
  </si>
  <si>
    <t>Work Section 6 Drill Problems, Review Formulas</t>
  </si>
  <si>
    <t>Claim Reserves for Long-Term Benefits</t>
  </si>
  <si>
    <t>Reserves and Liabilities</t>
  </si>
  <si>
    <t>LTC Insurance Valuation</t>
  </si>
  <si>
    <t>CP321-110-25</t>
  </si>
  <si>
    <t>CP321-111-25</t>
  </si>
  <si>
    <t>CP321-113-25</t>
  </si>
  <si>
    <t>CP321-114-25</t>
  </si>
  <si>
    <t>CP321-115-25</t>
  </si>
  <si>
    <t>CP321-116-25</t>
  </si>
  <si>
    <t>Retiree Benefits</t>
  </si>
  <si>
    <t>CIA Standards of Practice - Non Pension Future Employee Bft Plan</t>
  </si>
  <si>
    <t>CIA Educational Note - Health Care Trend (p 4-17)</t>
  </si>
  <si>
    <t>CIA Educational Note - Setting Discount Rate</t>
  </si>
  <si>
    <t>Morneau Shepell, Handbook of Canadian Bft, Ch. 24</t>
  </si>
  <si>
    <t>IAS 19</t>
  </si>
  <si>
    <t>Comparison of IAS 19 with FASB ASC 715</t>
  </si>
  <si>
    <t>IAS 19 - Primer on Non-Pension Benefit Accounting</t>
  </si>
  <si>
    <t>New Approaches to Save Retiree Benefits</t>
  </si>
  <si>
    <t>Retiree Health Benefits - Going Going Nearly Gone</t>
  </si>
  <si>
    <t>2022 Post Retirement Benefit Trends</t>
  </si>
  <si>
    <t>Estimating Disability Claim Costs</t>
  </si>
  <si>
    <t>Group Insurance Underwriting</t>
  </si>
  <si>
    <t>Issues in Applying Credibility to Group LTD</t>
  </si>
  <si>
    <t>Issues to Consider in Self-Funding LTD</t>
  </si>
  <si>
    <t>Group Life Waiver Study on Canadian Group LTD Experience</t>
  </si>
  <si>
    <t>Managing Anti-Selection</t>
  </si>
  <si>
    <t>LTC Experience Monitoring</t>
  </si>
  <si>
    <t>LTC Premium Rate Increases</t>
  </si>
  <si>
    <t xml:space="preserve">LTCI MSA Framework, Working Draft </t>
  </si>
  <si>
    <t>Pricing Medicare Supplement Benefit</t>
  </si>
  <si>
    <t>Best Estimate Assumptions for Expenses</t>
  </si>
  <si>
    <t>Practice for Preparing Health Contract Reserves</t>
  </si>
  <si>
    <t>Supplemental Comments for CP321-104-25</t>
  </si>
  <si>
    <t>ALM for Life, Annuities and Pensions (Sec. 2, 5, 6)</t>
  </si>
  <si>
    <t>Modeling in Life Insurance - A Mgmt Perspective</t>
  </si>
  <si>
    <t>Eaton, Insuring LTC, Ch. 8</t>
  </si>
  <si>
    <t>Health Insurance Accting Basics for Actuaries (Sec. 4-7)</t>
  </si>
  <si>
    <t>Accting for Long-Duration Benefits Under US GAAP (Sec. IV)</t>
  </si>
  <si>
    <t>Post Exam</t>
  </si>
  <si>
    <t xml:space="preserve">This spreadsheet tracks your study progress for the CP 321 Exam (Fall 2026) </t>
  </si>
  <si>
    <t>The adjusted start date on the Schedule tab is 7/1/2026, but you can enter a different date, and the</t>
  </si>
  <si>
    <t>Make sure you are registered for the exam through the SOA as soon as possible! (deadline is October 13)</t>
  </si>
  <si>
    <t>Save newer exams (2014-2026) for last two weeks</t>
  </si>
  <si>
    <t>Allocate half days to take the exams for 2014 - 2026 under real exam conditions - 3 hr exam, no breaks</t>
  </si>
  <si>
    <t>Bluhm &amp; Leida, Individual Health Insurance, Ch. 2 (Sec. 2.7-2.9)</t>
  </si>
  <si>
    <t>CP321-103-26</t>
  </si>
  <si>
    <t>Bluhm &amp; Leida, Individual Health Insurance, Ch. 4 (Sec. 4.1-4.5)</t>
  </si>
  <si>
    <t>LTCI Multistate Rate Review Framework</t>
  </si>
  <si>
    <t>IFRS 17 Insurance Contract Examples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</si>
</sst>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A3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9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Protection="1">
      <protection locked="0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9" fontId="4" fillId="4" borderId="1" xfId="2" applyFont="1" applyFill="1" applyBorder="1" applyProtection="1">
      <protection locked="0"/>
    </xf>
    <xf numFmtId="164" fontId="0" fillId="0" borderId="0" xfId="1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14" fontId="0" fillId="0" borderId="5" xfId="0" applyNumberFormat="1" applyBorder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1" fontId="8" fillId="0" borderId="5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9" fontId="8" fillId="0" borderId="6" xfId="2" applyFont="1" applyFill="1" applyBorder="1" applyProtection="1">
      <protection locked="0"/>
    </xf>
    <xf numFmtId="1" fontId="8" fillId="0" borderId="0" xfId="0" applyNumberFormat="1" applyFont="1" applyProtection="1">
      <protection locked="0"/>
    </xf>
    <xf numFmtId="9" fontId="0" fillId="0" borderId="0" xfId="2" applyFont="1" applyFill="1" applyProtection="1">
      <protection locked="0"/>
    </xf>
    <xf numFmtId="0" fontId="3" fillId="0" borderId="0" xfId="0" applyFont="1"/>
    <xf numFmtId="14" fontId="0" fillId="0" borderId="0" xfId="0" applyNumberFormat="1" applyProtection="1">
      <protection locked="0"/>
    </xf>
    <xf numFmtId="14" fontId="7" fillId="0" borderId="0" xfId="0" applyNumberFormat="1" applyFont="1" applyProtection="1">
      <protection locked="0"/>
    </xf>
    <xf numFmtId="0" fontId="12" fillId="0" borderId="0" xfId="13" applyFont="1"/>
    <xf numFmtId="0" fontId="13" fillId="0" borderId="0" xfId="13" applyFont="1" applyAlignment="1">
      <alignment horizontal="left" indent="1"/>
    </xf>
    <xf numFmtId="0" fontId="11" fillId="0" borderId="0" xfId="13"/>
    <xf numFmtId="0" fontId="11" fillId="0" borderId="0" xfId="13" applyAlignment="1">
      <alignment horizontal="left" indent="1"/>
    </xf>
    <xf numFmtId="0" fontId="12" fillId="0" borderId="0" xfId="13" applyFont="1" applyAlignment="1">
      <alignment horizontal="left"/>
    </xf>
    <xf numFmtId="9" fontId="8" fillId="0" borderId="0" xfId="2" applyFont="1" applyFill="1" applyBorder="1" applyProtection="1">
      <protection locked="0"/>
    </xf>
    <xf numFmtId="14" fontId="0" fillId="6" borderId="0" xfId="0" applyNumberFormat="1" applyFill="1" applyProtection="1">
      <protection locked="0"/>
    </xf>
    <xf numFmtId="14" fontId="7" fillId="6" borderId="0" xfId="0" applyNumberFormat="1" applyFont="1" applyFill="1" applyProtection="1">
      <protection locked="0"/>
    </xf>
    <xf numFmtId="0" fontId="0" fillId="6" borderId="0" xfId="0" applyFill="1" applyProtection="1">
      <protection locked="0"/>
    </xf>
    <xf numFmtId="0" fontId="7" fillId="6" borderId="0" xfId="0" applyFont="1" applyFill="1" applyAlignment="1" applyProtection="1">
      <alignment horizontal="center"/>
      <protection locked="0"/>
    </xf>
    <xf numFmtId="2" fontId="0" fillId="6" borderId="0" xfId="0" applyNumberFormat="1" applyFill="1" applyProtection="1">
      <protection locked="0"/>
    </xf>
    <xf numFmtId="0" fontId="15" fillId="0" borderId="0" xfId="13" applyFont="1"/>
    <xf numFmtId="0" fontId="3" fillId="6" borderId="0" xfId="0" applyFont="1" applyFill="1" applyProtection="1">
      <protection locked="0"/>
    </xf>
    <xf numFmtId="14" fontId="16" fillId="0" borderId="0" xfId="0" applyNumberFormat="1" applyFon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14" fontId="0" fillId="0" borderId="0" xfId="0" applyNumberFormat="1"/>
    <xf numFmtId="14" fontId="18" fillId="0" borderId="0" xfId="0" applyNumberFormat="1" applyFont="1" applyAlignment="1" applyProtection="1">
      <alignment horizontal="right"/>
      <protection locked="0"/>
    </xf>
    <xf numFmtId="0" fontId="9" fillId="0" borderId="0" xfId="92" applyAlignment="1" applyProtection="1">
      <alignment horizontal="left" indent="1"/>
      <protection locked="0"/>
    </xf>
    <xf numFmtId="14" fontId="18" fillId="0" borderId="0" xfId="0" applyNumberFormat="1" applyFont="1" applyProtection="1">
      <protection locked="0"/>
    </xf>
    <xf numFmtId="14" fontId="3" fillId="0" borderId="0" xfId="0" applyNumberFormat="1" applyFont="1" applyProtection="1">
      <protection locked="0"/>
    </xf>
    <xf numFmtId="14" fontId="19" fillId="0" borderId="0" xfId="0" applyNumberFormat="1" applyFont="1" applyProtection="1">
      <protection locked="0"/>
    </xf>
    <xf numFmtId="0" fontId="0" fillId="0" borderId="0" xfId="0" applyAlignment="1">
      <alignment horizontal="left" indent="1"/>
    </xf>
    <xf numFmtId="0" fontId="20" fillId="0" borderId="0" xfId="0" applyFont="1" applyAlignment="1">
      <alignment horizontal="left" inden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 applyProtection="1">
      <alignment horizontal="right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14" fontId="21" fillId="0" borderId="0" xfId="0" applyNumberFormat="1" applyFont="1"/>
  </cellXfs>
  <cellStyles count="93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/>
    <cellStyle name="Normal" xfId="0" builtinId="0"/>
    <cellStyle name="Normal 2" xfId="13" xr:uid="{00000000-0005-0000-0000-00005B000000}"/>
    <cellStyle name="Percent" xfId="2" builtinId="5"/>
  </cellStyles>
  <dxfs count="0"/>
  <tableStyles count="0" defaultTableStyle="TableStyleMedium2" defaultPivotStyle="PivotStyleLight16"/>
  <colors>
    <mruColors>
      <color rgb="FF0000FF"/>
      <color rgb="FF0066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CP 321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Schedule!$M$5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Schedule!$B$6:$B$53</c:f>
              <c:numCache>
                <c:formatCode>m/d/yyyy</c:formatCode>
                <c:ptCount val="48"/>
                <c:pt idx="0">
                  <c:v>46205</c:v>
                </c:pt>
                <c:pt idx="1">
                  <c:v>46207.033901819501</c:v>
                </c:pt>
                <c:pt idx="2">
                  <c:v>46208.559328184128</c:v>
                </c:pt>
                <c:pt idx="3">
                  <c:v>46208.559328184128</c:v>
                </c:pt>
                <c:pt idx="4">
                  <c:v>46210.593230003629</c:v>
                </c:pt>
                <c:pt idx="5">
                  <c:v>46212.62713182313</c:v>
                </c:pt>
                <c:pt idx="6">
                  <c:v>46213.644082732884</c:v>
                </c:pt>
                <c:pt idx="7">
                  <c:v>46215.677984552385</c:v>
                </c:pt>
                <c:pt idx="8">
                  <c:v>46218.220361826759</c:v>
                </c:pt>
                <c:pt idx="9">
                  <c:v>46218.728837281633</c:v>
                </c:pt>
                <c:pt idx="10">
                  <c:v>46220.762739101134</c:v>
                </c:pt>
                <c:pt idx="11">
                  <c:v>46222.288165465761</c:v>
                </c:pt>
                <c:pt idx="12">
                  <c:v>46223.813591830389</c:v>
                </c:pt>
                <c:pt idx="13">
                  <c:v>46225.339018195016</c:v>
                </c:pt>
                <c:pt idx="14">
                  <c:v>46227.881395469391</c:v>
                </c:pt>
                <c:pt idx="15">
                  <c:v>46229.915297288891</c:v>
                </c:pt>
                <c:pt idx="16">
                  <c:v>46231.949199108392</c:v>
                </c:pt>
                <c:pt idx="17">
                  <c:v>46233.983100927893</c:v>
                </c:pt>
                <c:pt idx="18">
                  <c:v>46236.017002747394</c:v>
                </c:pt>
                <c:pt idx="19">
                  <c:v>46237.542429112022</c:v>
                </c:pt>
                <c:pt idx="20">
                  <c:v>46238.559380021776</c:v>
                </c:pt>
                <c:pt idx="21">
                  <c:v>46239.57633093153</c:v>
                </c:pt>
                <c:pt idx="22">
                  <c:v>46240.593281841284</c:v>
                </c:pt>
                <c:pt idx="23">
                  <c:v>46242.627183660785</c:v>
                </c:pt>
                <c:pt idx="24">
                  <c:v>46246.694987299787</c:v>
                </c:pt>
                <c:pt idx="25">
                  <c:v>46250.762790938788</c:v>
                </c:pt>
                <c:pt idx="26">
                  <c:v>46252.796692758289</c:v>
                </c:pt>
                <c:pt idx="27">
                  <c:v>46255.339070032664</c:v>
                </c:pt>
                <c:pt idx="28">
                  <c:v>46255.847545487537</c:v>
                </c:pt>
                <c:pt idx="29">
                  <c:v>46257.881447307038</c:v>
                </c:pt>
                <c:pt idx="30">
                  <c:v>46259.406873671665</c:v>
                </c:pt>
                <c:pt idx="31">
                  <c:v>46263.474677310667</c:v>
                </c:pt>
                <c:pt idx="32">
                  <c:v>46266.017054585041</c:v>
                </c:pt>
                <c:pt idx="33">
                  <c:v>46268.050956404542</c:v>
                </c:pt>
                <c:pt idx="34">
                  <c:v>46270.593333678917</c:v>
                </c:pt>
                <c:pt idx="35">
                  <c:v>46272.627235498418</c:v>
                </c:pt>
                <c:pt idx="36">
                  <c:v>46273.644186408172</c:v>
                </c:pt>
                <c:pt idx="37">
                  <c:v>46275.678088227673</c:v>
                </c:pt>
                <c:pt idx="38">
                  <c:v>46277.2035145923</c:v>
                </c:pt>
                <c:pt idx="39">
                  <c:v>46280.254367321555</c:v>
                </c:pt>
                <c:pt idx="40">
                  <c:v>46283.30522005081</c:v>
                </c:pt>
                <c:pt idx="41">
                  <c:v>46285.847597325184</c:v>
                </c:pt>
                <c:pt idx="42">
                  <c:v>46288.389974599559</c:v>
                </c:pt>
                <c:pt idx="43">
                  <c:v>46291.440827328814</c:v>
                </c:pt>
                <c:pt idx="44">
                  <c:v>46292.457778238568</c:v>
                </c:pt>
                <c:pt idx="45">
                  <c:v>46293.983204603195</c:v>
                </c:pt>
                <c:pt idx="46">
                  <c:v>46295.000155512949</c:v>
                </c:pt>
                <c:pt idx="47">
                  <c:v>46297.03405733245</c:v>
                </c:pt>
              </c:numCache>
            </c:numRef>
          </c:cat>
          <c:val>
            <c:numRef>
              <c:f>Schedule!$M$6:$M$53</c:f>
              <c:numCache>
                <c:formatCode>0</c:formatCode>
                <c:ptCount val="48"/>
                <c:pt idx="1">
                  <c:v>10</c:v>
                </c:pt>
                <c:pt idx="2">
                  <c:v>20</c:v>
                </c:pt>
                <c:pt idx="3">
                  <c:v>39</c:v>
                </c:pt>
                <c:pt idx="4">
                  <c:v>61</c:v>
                </c:pt>
                <c:pt idx="5">
                  <c:v>77</c:v>
                </c:pt>
                <c:pt idx="6">
                  <c:v>84</c:v>
                </c:pt>
                <c:pt idx="7">
                  <c:v>84</c:v>
                </c:pt>
                <c:pt idx="8">
                  <c:v>100</c:v>
                </c:pt>
                <c:pt idx="9">
                  <c:v>102</c:v>
                </c:pt>
                <c:pt idx="10">
                  <c:v>108</c:v>
                </c:pt>
                <c:pt idx="11">
                  <c:v>119</c:v>
                </c:pt>
                <c:pt idx="12">
                  <c:v>121</c:v>
                </c:pt>
                <c:pt idx="13">
                  <c:v>151</c:v>
                </c:pt>
                <c:pt idx="14">
                  <c:v>181</c:v>
                </c:pt>
                <c:pt idx="15">
                  <c:v>192</c:v>
                </c:pt>
                <c:pt idx="16">
                  <c:v>212</c:v>
                </c:pt>
                <c:pt idx="17">
                  <c:v>230</c:v>
                </c:pt>
                <c:pt idx="18">
                  <c:v>248</c:v>
                </c:pt>
                <c:pt idx="19">
                  <c:v>269</c:v>
                </c:pt>
                <c:pt idx="20">
                  <c:v>277</c:v>
                </c:pt>
                <c:pt idx="21">
                  <c:v>285</c:v>
                </c:pt>
                <c:pt idx="22">
                  <c:v>296</c:v>
                </c:pt>
                <c:pt idx="23">
                  <c:v>296</c:v>
                </c:pt>
                <c:pt idx="24">
                  <c:v>312</c:v>
                </c:pt>
                <c:pt idx="25">
                  <c:v>356</c:v>
                </c:pt>
                <c:pt idx="26">
                  <c:v>367</c:v>
                </c:pt>
                <c:pt idx="27">
                  <c:v>386</c:v>
                </c:pt>
                <c:pt idx="28">
                  <c:v>387</c:v>
                </c:pt>
                <c:pt idx="29">
                  <c:v>387</c:v>
                </c:pt>
                <c:pt idx="30">
                  <c:v>395</c:v>
                </c:pt>
                <c:pt idx="31">
                  <c:v>445</c:v>
                </c:pt>
                <c:pt idx="32">
                  <c:v>465</c:v>
                </c:pt>
                <c:pt idx="33">
                  <c:v>465</c:v>
                </c:pt>
                <c:pt idx="34">
                  <c:v>493</c:v>
                </c:pt>
                <c:pt idx="35">
                  <c:v>510</c:v>
                </c:pt>
                <c:pt idx="36">
                  <c:v>521</c:v>
                </c:pt>
                <c:pt idx="37">
                  <c:v>521</c:v>
                </c:pt>
                <c:pt idx="38">
                  <c:v>532</c:v>
                </c:pt>
                <c:pt idx="39">
                  <c:v>567</c:v>
                </c:pt>
                <c:pt idx="40">
                  <c:v>609</c:v>
                </c:pt>
                <c:pt idx="41">
                  <c:v>623</c:v>
                </c:pt>
                <c:pt idx="42">
                  <c:v>641</c:v>
                </c:pt>
                <c:pt idx="43">
                  <c:v>679</c:v>
                </c:pt>
                <c:pt idx="44">
                  <c:v>684</c:v>
                </c:pt>
                <c:pt idx="45">
                  <c:v>711</c:v>
                </c:pt>
                <c:pt idx="46">
                  <c:v>713</c:v>
                </c:pt>
                <c:pt idx="47">
                  <c:v>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5-4A84-86B7-C61BEEBB2E5D}"/>
            </c:ext>
          </c:extLst>
        </c:ser>
        <c:ser>
          <c:idx val="2"/>
          <c:order val="1"/>
          <c:tx>
            <c:strRef>
              <c:f>Schedule!$N$5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Schedule!$B$6:$B$53</c:f>
              <c:numCache>
                <c:formatCode>m/d/yyyy</c:formatCode>
                <c:ptCount val="48"/>
                <c:pt idx="0">
                  <c:v>46205</c:v>
                </c:pt>
                <c:pt idx="1">
                  <c:v>46207.033901819501</c:v>
                </c:pt>
                <c:pt idx="2">
                  <c:v>46208.559328184128</c:v>
                </c:pt>
                <c:pt idx="3">
                  <c:v>46208.559328184128</c:v>
                </c:pt>
                <c:pt idx="4">
                  <c:v>46210.593230003629</c:v>
                </c:pt>
                <c:pt idx="5">
                  <c:v>46212.62713182313</c:v>
                </c:pt>
                <c:pt idx="6">
                  <c:v>46213.644082732884</c:v>
                </c:pt>
                <c:pt idx="7">
                  <c:v>46215.677984552385</c:v>
                </c:pt>
                <c:pt idx="8">
                  <c:v>46218.220361826759</c:v>
                </c:pt>
                <c:pt idx="9">
                  <c:v>46218.728837281633</c:v>
                </c:pt>
                <c:pt idx="10">
                  <c:v>46220.762739101134</c:v>
                </c:pt>
                <c:pt idx="11">
                  <c:v>46222.288165465761</c:v>
                </c:pt>
                <c:pt idx="12">
                  <c:v>46223.813591830389</c:v>
                </c:pt>
                <c:pt idx="13">
                  <c:v>46225.339018195016</c:v>
                </c:pt>
                <c:pt idx="14">
                  <c:v>46227.881395469391</c:v>
                </c:pt>
                <c:pt idx="15">
                  <c:v>46229.915297288891</c:v>
                </c:pt>
                <c:pt idx="16">
                  <c:v>46231.949199108392</c:v>
                </c:pt>
                <c:pt idx="17">
                  <c:v>46233.983100927893</c:v>
                </c:pt>
                <c:pt idx="18">
                  <c:v>46236.017002747394</c:v>
                </c:pt>
                <c:pt idx="19">
                  <c:v>46237.542429112022</c:v>
                </c:pt>
                <c:pt idx="20">
                  <c:v>46238.559380021776</c:v>
                </c:pt>
                <c:pt idx="21">
                  <c:v>46239.57633093153</c:v>
                </c:pt>
                <c:pt idx="22">
                  <c:v>46240.593281841284</c:v>
                </c:pt>
                <c:pt idx="23">
                  <c:v>46242.627183660785</c:v>
                </c:pt>
                <c:pt idx="24">
                  <c:v>46246.694987299787</c:v>
                </c:pt>
                <c:pt idx="25">
                  <c:v>46250.762790938788</c:v>
                </c:pt>
                <c:pt idx="26">
                  <c:v>46252.796692758289</c:v>
                </c:pt>
                <c:pt idx="27">
                  <c:v>46255.339070032664</c:v>
                </c:pt>
                <c:pt idx="28">
                  <c:v>46255.847545487537</c:v>
                </c:pt>
                <c:pt idx="29">
                  <c:v>46257.881447307038</c:v>
                </c:pt>
                <c:pt idx="30">
                  <c:v>46259.406873671665</c:v>
                </c:pt>
                <c:pt idx="31">
                  <c:v>46263.474677310667</c:v>
                </c:pt>
                <c:pt idx="32">
                  <c:v>46266.017054585041</c:v>
                </c:pt>
                <c:pt idx="33">
                  <c:v>46268.050956404542</c:v>
                </c:pt>
                <c:pt idx="34">
                  <c:v>46270.593333678917</c:v>
                </c:pt>
                <c:pt idx="35">
                  <c:v>46272.627235498418</c:v>
                </c:pt>
                <c:pt idx="36">
                  <c:v>46273.644186408172</c:v>
                </c:pt>
                <c:pt idx="37">
                  <c:v>46275.678088227673</c:v>
                </c:pt>
                <c:pt idx="38">
                  <c:v>46277.2035145923</c:v>
                </c:pt>
                <c:pt idx="39">
                  <c:v>46280.254367321555</c:v>
                </c:pt>
                <c:pt idx="40">
                  <c:v>46283.30522005081</c:v>
                </c:pt>
                <c:pt idx="41">
                  <c:v>46285.847597325184</c:v>
                </c:pt>
                <c:pt idx="42">
                  <c:v>46288.389974599559</c:v>
                </c:pt>
                <c:pt idx="43">
                  <c:v>46291.440827328814</c:v>
                </c:pt>
                <c:pt idx="44">
                  <c:v>46292.457778238568</c:v>
                </c:pt>
                <c:pt idx="45">
                  <c:v>46293.983204603195</c:v>
                </c:pt>
                <c:pt idx="46">
                  <c:v>46295.000155512949</c:v>
                </c:pt>
                <c:pt idx="47">
                  <c:v>46297.03405733245</c:v>
                </c:pt>
              </c:numCache>
            </c:numRef>
          </c:cat>
          <c:val>
            <c:numRef>
              <c:f>Schedule!$N$6:$N$53</c:f>
              <c:numCache>
                <c:formatCode>General</c:formatCode>
                <c:ptCount val="48"/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5-4A84-86B7-C61BEEBB2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167360"/>
        <c:axId val="131169280"/>
      </c:lineChart>
      <c:dateAx>
        <c:axId val="131167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69280"/>
        <c:crosses val="autoZero"/>
        <c:auto val="1"/>
        <c:lblOffset val="100"/>
        <c:baseTimeUnit val="days"/>
      </c:dateAx>
      <c:valAx>
        <c:axId val="1311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6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Specialty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'Schedule (double)'!$M$5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cat>
            <c:numRef>
              <c:f>'Schedule (double)'!$B$6:$B$102</c:f>
              <c:numCache>
                <c:formatCode>m/d/yyyy</c:formatCode>
                <c:ptCount val="97"/>
                <c:pt idx="0">
                  <c:v>44920.5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</c:numCache>
            </c:numRef>
          </c:cat>
          <c:val>
            <c:numRef>
              <c:f>'Schedule (double)'!$M$6:$M$102</c:f>
              <c:numCache>
                <c:formatCode>0</c:formatCode>
                <c:ptCount val="97"/>
                <c:pt idx="1">
                  <c:v>10</c:v>
                </c:pt>
                <c:pt idx="2">
                  <c:v>34</c:v>
                </c:pt>
                <c:pt idx="3">
                  <c:v>40</c:v>
                </c:pt>
                <c:pt idx="4">
                  <c:v>76</c:v>
                </c:pt>
                <c:pt idx="5">
                  <c:v>100</c:v>
                </c:pt>
                <c:pt idx="6">
                  <c:v>106</c:v>
                </c:pt>
                <c:pt idx="7">
                  <c:v>125</c:v>
                </c:pt>
                <c:pt idx="8">
                  <c:v>136</c:v>
                </c:pt>
                <c:pt idx="9">
                  <c:v>141</c:v>
                </c:pt>
                <c:pt idx="10">
                  <c:v>160</c:v>
                </c:pt>
                <c:pt idx="11">
                  <c:v>171</c:v>
                </c:pt>
                <c:pt idx="12">
                  <c:v>178</c:v>
                </c:pt>
                <c:pt idx="13">
                  <c:v>178</c:v>
                </c:pt>
                <c:pt idx="14">
                  <c:v>185</c:v>
                </c:pt>
                <c:pt idx="15">
                  <c:v>199</c:v>
                </c:pt>
                <c:pt idx="16">
                  <c:v>206</c:v>
                </c:pt>
                <c:pt idx="17">
                  <c:v>226</c:v>
                </c:pt>
                <c:pt idx="18">
                  <c:v>230</c:v>
                </c:pt>
                <c:pt idx="19">
                  <c:v>232</c:v>
                </c:pt>
                <c:pt idx="20">
                  <c:v>236</c:v>
                </c:pt>
                <c:pt idx="21">
                  <c:v>287</c:v>
                </c:pt>
                <c:pt idx="22">
                  <c:v>291</c:v>
                </c:pt>
                <c:pt idx="23">
                  <c:v>299</c:v>
                </c:pt>
                <c:pt idx="24">
                  <c:v>309</c:v>
                </c:pt>
                <c:pt idx="25">
                  <c:v>309</c:v>
                </c:pt>
                <c:pt idx="26">
                  <c:v>346</c:v>
                </c:pt>
                <c:pt idx="27">
                  <c:v>367</c:v>
                </c:pt>
                <c:pt idx="28">
                  <c:v>382</c:v>
                </c:pt>
                <c:pt idx="29">
                  <c:v>399</c:v>
                </c:pt>
                <c:pt idx="30">
                  <c:v>424</c:v>
                </c:pt>
                <c:pt idx="31">
                  <c:v>443</c:v>
                </c:pt>
                <c:pt idx="32">
                  <c:v>459</c:v>
                </c:pt>
                <c:pt idx="33">
                  <c:v>463</c:v>
                </c:pt>
                <c:pt idx="34">
                  <c:v>471</c:v>
                </c:pt>
                <c:pt idx="35">
                  <c:v>474</c:v>
                </c:pt>
                <c:pt idx="36">
                  <c:v>474</c:v>
                </c:pt>
                <c:pt idx="37">
                  <c:v>486</c:v>
                </c:pt>
                <c:pt idx="38">
                  <c:v>493</c:v>
                </c:pt>
                <c:pt idx="39">
                  <c:v>513</c:v>
                </c:pt>
                <c:pt idx="40">
                  <c:v>535</c:v>
                </c:pt>
                <c:pt idx="41">
                  <c:v>568</c:v>
                </c:pt>
                <c:pt idx="42">
                  <c:v>575</c:v>
                </c:pt>
                <c:pt idx="43">
                  <c:v>594</c:v>
                </c:pt>
                <c:pt idx="44">
                  <c:v>606</c:v>
                </c:pt>
                <c:pt idx="45">
                  <c:v>630</c:v>
                </c:pt>
                <c:pt idx="46">
                  <c:v>638</c:v>
                </c:pt>
                <c:pt idx="47">
                  <c:v>649</c:v>
                </c:pt>
                <c:pt idx="48">
                  <c:v>649</c:v>
                </c:pt>
                <c:pt idx="49">
                  <c:v>659</c:v>
                </c:pt>
                <c:pt idx="50">
                  <c:v>683</c:v>
                </c:pt>
                <c:pt idx="51">
                  <c:v>689</c:v>
                </c:pt>
                <c:pt idx="52">
                  <c:v>725</c:v>
                </c:pt>
                <c:pt idx="53">
                  <c:v>749</c:v>
                </c:pt>
                <c:pt idx="54">
                  <c:v>755</c:v>
                </c:pt>
                <c:pt idx="55">
                  <c:v>774</c:v>
                </c:pt>
                <c:pt idx="56">
                  <c:v>785</c:v>
                </c:pt>
                <c:pt idx="57">
                  <c:v>790</c:v>
                </c:pt>
                <c:pt idx="58">
                  <c:v>809</c:v>
                </c:pt>
                <c:pt idx="59">
                  <c:v>820</c:v>
                </c:pt>
                <c:pt idx="60">
                  <c:v>827</c:v>
                </c:pt>
                <c:pt idx="61">
                  <c:v>827</c:v>
                </c:pt>
                <c:pt idx="62">
                  <c:v>834</c:v>
                </c:pt>
                <c:pt idx="63">
                  <c:v>848</c:v>
                </c:pt>
                <c:pt idx="64">
                  <c:v>855</c:v>
                </c:pt>
                <c:pt idx="65">
                  <c:v>875</c:v>
                </c:pt>
                <c:pt idx="66">
                  <c:v>879</c:v>
                </c:pt>
                <c:pt idx="67">
                  <c:v>881</c:v>
                </c:pt>
                <c:pt idx="68">
                  <c:v>885</c:v>
                </c:pt>
                <c:pt idx="69">
                  <c:v>936</c:v>
                </c:pt>
                <c:pt idx="70">
                  <c:v>940</c:v>
                </c:pt>
                <c:pt idx="71">
                  <c:v>948</c:v>
                </c:pt>
                <c:pt idx="72">
                  <c:v>958</c:v>
                </c:pt>
                <c:pt idx="73">
                  <c:v>958</c:v>
                </c:pt>
                <c:pt idx="74">
                  <c:v>995</c:v>
                </c:pt>
                <c:pt idx="75">
                  <c:v>1016</c:v>
                </c:pt>
                <c:pt idx="76">
                  <c:v>1031</c:v>
                </c:pt>
                <c:pt idx="77">
                  <c:v>1048</c:v>
                </c:pt>
                <c:pt idx="78">
                  <c:v>1073</c:v>
                </c:pt>
                <c:pt idx="79">
                  <c:v>1092</c:v>
                </c:pt>
                <c:pt idx="80">
                  <c:v>1108</c:v>
                </c:pt>
                <c:pt idx="81">
                  <c:v>1112</c:v>
                </c:pt>
                <c:pt idx="82">
                  <c:v>1120</c:v>
                </c:pt>
                <c:pt idx="83">
                  <c:v>1123</c:v>
                </c:pt>
                <c:pt idx="84">
                  <c:v>1123</c:v>
                </c:pt>
                <c:pt idx="85">
                  <c:v>1135</c:v>
                </c:pt>
                <c:pt idx="86">
                  <c:v>1142</c:v>
                </c:pt>
                <c:pt idx="87">
                  <c:v>1162</c:v>
                </c:pt>
                <c:pt idx="88">
                  <c:v>1184</c:v>
                </c:pt>
                <c:pt idx="89">
                  <c:v>1217</c:v>
                </c:pt>
                <c:pt idx="90">
                  <c:v>1224</c:v>
                </c:pt>
                <c:pt idx="91">
                  <c:v>1243</c:v>
                </c:pt>
                <c:pt idx="92">
                  <c:v>1255</c:v>
                </c:pt>
                <c:pt idx="93">
                  <c:v>1279</c:v>
                </c:pt>
                <c:pt idx="94">
                  <c:v>1287</c:v>
                </c:pt>
                <c:pt idx="95">
                  <c:v>1298</c:v>
                </c:pt>
                <c:pt idx="96">
                  <c:v>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D-4FE5-8027-6D9D496E9763}"/>
            </c:ext>
          </c:extLst>
        </c:ser>
        <c:ser>
          <c:idx val="2"/>
          <c:order val="1"/>
          <c:tx>
            <c:strRef>
              <c:f>'Schedule (double)'!$N$5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'Schedule (double)'!$B$6:$B$102</c:f>
              <c:numCache>
                <c:formatCode>m/d/yyyy</c:formatCode>
                <c:ptCount val="97"/>
                <c:pt idx="0">
                  <c:v>44920.5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</c:numCache>
            </c:numRef>
          </c:cat>
          <c:val>
            <c:numRef>
              <c:f>'Schedule (double)'!$N$6:$N$102</c:f>
              <c:numCache>
                <c:formatCode>General</c:formatCode>
                <c:ptCount val="9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D-4FE5-8027-6D9D496E9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17984"/>
        <c:axId val="211819904"/>
      </c:lineChart>
      <c:dateAx>
        <c:axId val="21181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819904"/>
        <c:crosses val="autoZero"/>
        <c:auto val="1"/>
        <c:lblOffset val="100"/>
        <c:baseTimeUnit val="days"/>
      </c:dateAx>
      <c:valAx>
        <c:axId val="21181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81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190500</xdr:colOff>
      <xdr:row>4</xdr:row>
      <xdr:rowOff>57150</xdr:rowOff>
    </xdr:to>
    <xdr:pic>
      <xdr:nvPicPr>
        <xdr:cNvPr id="3" name="Picture 2" descr="A picture containing icon&#10;&#10;Description automatically generated">
          <a:extLst>
            <a:ext uri="{FF2B5EF4-FFF2-40B4-BE49-F238E27FC236}">
              <a16:creationId xmlns:a16="http://schemas.microsoft.com/office/drawing/2014/main" id="{F47B2D08-3EB5-4694-93A8-C58368B04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91050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123825</xdr:rowOff>
    </xdr:from>
    <xdr:to>
      <xdr:col>2</xdr:col>
      <xdr:colOff>514350</xdr:colOff>
      <xdr:row>2</xdr:row>
      <xdr:rowOff>85725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61925" y="123825"/>
          <a:ext cx="1362075" cy="447675"/>
        </a:xfrm>
        <a:prstGeom prst="wedgeRectCallout">
          <a:avLst>
            <a:gd name="adj1" fmla="val 65880"/>
            <a:gd name="adj2" fmla="val -58777"/>
          </a:avLst>
        </a:prstGeom>
        <a:solidFill>
          <a:srgbClr val="00B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Enter</a:t>
          </a:r>
          <a:r>
            <a:rPr lang="en-US" sz="1200" b="1" baseline="0">
              <a:solidFill>
                <a:schemeClr val="bg1"/>
              </a:solidFill>
            </a:rPr>
            <a:t> Start Date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4</xdr:col>
      <xdr:colOff>1174750</xdr:colOff>
      <xdr:row>0</xdr:row>
      <xdr:rowOff>0</xdr:rowOff>
    </xdr:from>
    <xdr:to>
      <xdr:col>6</xdr:col>
      <xdr:colOff>3733800</xdr:colOff>
      <xdr:row>3</xdr:row>
      <xdr:rowOff>79374</xdr:rowOff>
    </xdr:to>
    <xdr:pic>
      <xdr:nvPicPr>
        <xdr:cNvPr id="4" name="Picture 3" descr="A picture containing icon&#10;&#10;Description automatically generated">
          <a:extLst>
            <a:ext uri="{FF2B5EF4-FFF2-40B4-BE49-F238E27FC236}">
              <a16:creationId xmlns:a16="http://schemas.microsoft.com/office/drawing/2014/main" id="{B537A9B1-1A24-4032-A7D1-59078F6F0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7917" y="0"/>
          <a:ext cx="4591050" cy="730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149230</xdr:rowOff>
    </xdr:from>
    <xdr:to>
      <xdr:col>26</xdr:col>
      <xdr:colOff>619125</xdr:colOff>
      <xdr:row>54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568325</xdr:colOff>
      <xdr:row>0</xdr:row>
      <xdr:rowOff>0</xdr:rowOff>
    </xdr:from>
    <xdr:to>
      <xdr:col>6</xdr:col>
      <xdr:colOff>3042509</xdr:colOff>
      <xdr:row>3</xdr:row>
      <xdr:rowOff>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1725" y="0"/>
          <a:ext cx="3121884" cy="666844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0</xdr:row>
      <xdr:rowOff>123825</xdr:rowOff>
    </xdr:from>
    <xdr:to>
      <xdr:col>2</xdr:col>
      <xdr:colOff>514350</xdr:colOff>
      <xdr:row>2</xdr:row>
      <xdr:rowOff>85725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61925" y="123825"/>
          <a:ext cx="1343025" cy="438150"/>
        </a:xfrm>
        <a:prstGeom prst="wedgeRectCallout">
          <a:avLst>
            <a:gd name="adj1" fmla="val 65880"/>
            <a:gd name="adj2" fmla="val -58777"/>
          </a:avLst>
        </a:prstGeom>
        <a:solidFill>
          <a:srgbClr val="00B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Enter</a:t>
          </a:r>
          <a:r>
            <a:rPr lang="en-US" sz="1200" b="1" baseline="0">
              <a:solidFill>
                <a:schemeClr val="bg1"/>
              </a:solidFill>
            </a:rPr>
            <a:t> Start Date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149230</xdr:rowOff>
    </xdr:from>
    <xdr:to>
      <xdr:col>26</xdr:col>
      <xdr:colOff>619125</xdr:colOff>
      <xdr:row>54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oa.org/education/exam-req/fsa2025/cp-321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oa.org/education/exam-req/edu-exam-group-health-specialty.asp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45"/>
  <sheetViews>
    <sheetView showGridLines="0" tabSelected="1" zoomScaleNormal="100" zoomScalePageLayoutView="125" workbookViewId="0"/>
  </sheetViews>
  <sheetFormatPr defaultColWidth="8.796875" defaultRowHeight="14.25" x14ac:dyDescent="0.45"/>
  <sheetData>
    <row r="6" spans="1:1" x14ac:dyDescent="0.45">
      <c r="A6" s="21" t="s">
        <v>35</v>
      </c>
    </row>
    <row r="7" spans="1:1" x14ac:dyDescent="0.45">
      <c r="A7" s="45" t="s">
        <v>290</v>
      </c>
    </row>
    <row r="8" spans="1:1" x14ac:dyDescent="0.45">
      <c r="A8" s="45" t="s">
        <v>140</v>
      </c>
    </row>
    <row r="10" spans="1:1" x14ac:dyDescent="0.45">
      <c r="A10" s="21" t="s">
        <v>39</v>
      </c>
    </row>
    <row r="11" spans="1:1" x14ac:dyDescent="0.45">
      <c r="A11" s="45" t="s">
        <v>291</v>
      </c>
    </row>
    <row r="12" spans="1:1" x14ac:dyDescent="0.45">
      <c r="A12" s="45" t="s">
        <v>36</v>
      </c>
    </row>
    <row r="13" spans="1:1" x14ac:dyDescent="0.45">
      <c r="A13" s="45" t="s">
        <v>37</v>
      </c>
    </row>
    <row r="14" spans="1:1" x14ac:dyDescent="0.45">
      <c r="A14" s="45" t="s">
        <v>111</v>
      </c>
    </row>
    <row r="15" spans="1:1" x14ac:dyDescent="0.45">
      <c r="A15" s="45" t="s">
        <v>112</v>
      </c>
    </row>
    <row r="16" spans="1:1" x14ac:dyDescent="0.45">
      <c r="A16" s="45" t="s">
        <v>113</v>
      </c>
    </row>
    <row r="17" spans="1:1" x14ac:dyDescent="0.45">
      <c r="A17" s="45"/>
    </row>
    <row r="18" spans="1:1" x14ac:dyDescent="0.45">
      <c r="A18" s="45" t="s">
        <v>38</v>
      </c>
    </row>
    <row r="19" spans="1:1" x14ac:dyDescent="0.45">
      <c r="A19" s="45" t="s">
        <v>41</v>
      </c>
    </row>
    <row r="20" spans="1:1" x14ac:dyDescent="0.45">
      <c r="A20" s="45" t="s">
        <v>42</v>
      </c>
    </row>
    <row r="21" spans="1:1" x14ac:dyDescent="0.45">
      <c r="A21" s="45" t="s">
        <v>43</v>
      </c>
    </row>
    <row r="23" spans="1:1" x14ac:dyDescent="0.45">
      <c r="A23" s="21" t="s">
        <v>120</v>
      </c>
    </row>
    <row r="24" spans="1:1" x14ac:dyDescent="0.45">
      <c r="A24" s="45" t="s">
        <v>203</v>
      </c>
    </row>
    <row r="25" spans="1:1" x14ac:dyDescent="0.45">
      <c r="A25" s="45" t="s">
        <v>121</v>
      </c>
    </row>
    <row r="26" spans="1:1" x14ac:dyDescent="0.45">
      <c r="A26" s="45" t="s">
        <v>122</v>
      </c>
    </row>
    <row r="27" spans="1:1" x14ac:dyDescent="0.45">
      <c r="A27" s="45" t="s">
        <v>123</v>
      </c>
    </row>
    <row r="28" spans="1:1" x14ac:dyDescent="0.45">
      <c r="A28" s="45" t="s">
        <v>124</v>
      </c>
    </row>
    <row r="29" spans="1:1" x14ac:dyDescent="0.45">
      <c r="A29" s="45"/>
    </row>
    <row r="30" spans="1:1" x14ac:dyDescent="0.45">
      <c r="A30" s="45" t="s">
        <v>125</v>
      </c>
    </row>
    <row r="31" spans="1:1" x14ac:dyDescent="0.45">
      <c r="A31" s="45" t="s">
        <v>126</v>
      </c>
    </row>
    <row r="32" spans="1:1" x14ac:dyDescent="0.45">
      <c r="A32" s="45" t="s">
        <v>127</v>
      </c>
    </row>
    <row r="33" spans="1:10" x14ac:dyDescent="0.45">
      <c r="A33" s="45" t="s">
        <v>128</v>
      </c>
    </row>
    <row r="34" spans="1:10" x14ac:dyDescent="0.45">
      <c r="A34" s="46" t="s">
        <v>129</v>
      </c>
    </row>
    <row r="35" spans="1:10" x14ac:dyDescent="0.45">
      <c r="A35" s="47"/>
      <c r="B35" s="47"/>
      <c r="C35" s="47"/>
      <c r="D35" s="47"/>
      <c r="E35" s="47"/>
      <c r="F35" s="47"/>
      <c r="G35" s="47"/>
      <c r="H35" s="47"/>
      <c r="I35" s="47"/>
      <c r="J35" s="47"/>
    </row>
    <row r="36" spans="1:10" x14ac:dyDescent="0.45">
      <c r="A36" s="21" t="s">
        <v>40</v>
      </c>
    </row>
    <row r="37" spans="1:10" x14ac:dyDescent="0.45">
      <c r="A37" s="45" t="s">
        <v>44</v>
      </c>
    </row>
    <row r="38" spans="1:10" x14ac:dyDescent="0.45">
      <c r="A38" s="45" t="s">
        <v>130</v>
      </c>
    </row>
    <row r="39" spans="1:10" x14ac:dyDescent="0.45">
      <c r="A39" s="45"/>
    </row>
    <row r="40" spans="1:10" x14ac:dyDescent="0.45">
      <c r="A40" s="45" t="s">
        <v>45</v>
      </c>
    </row>
    <row r="41" spans="1:10" x14ac:dyDescent="0.45">
      <c r="A41" s="45" t="s">
        <v>47</v>
      </c>
    </row>
    <row r="42" spans="1:10" x14ac:dyDescent="0.45">
      <c r="A42" s="45" t="s">
        <v>49</v>
      </c>
    </row>
    <row r="45" spans="1:10" x14ac:dyDescent="0.45">
      <c r="A45" s="21"/>
    </row>
  </sheetData>
  <pageMargins left="0.7" right="0.7" top="0.75" bottom="0.75" header="0.3" footer="0.3"/>
  <pageSetup scale="83" fitToHeight="0" orientation="portrait" r:id="rId1"/>
  <headerFooter>
    <oddHeader>&amp;L&amp;"Calibri,Regular"&amp;K000000TIA Suggested Study Schedule - CP 321 Fall 2026&amp;R&amp;"Calibri,Regular"&amp;K000000www.theinfiniteactuary.com</oddHeader>
    <oddFooter>&amp;L&amp;"Calibri,Regular"&amp;K000000© 2026 The Infinite Actuary, LLC&amp;R&amp;"Calibri,Regular"&amp;K000000Page &amp;P of 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4"/>
  <sheetViews>
    <sheetView showGridLines="0" zoomScale="90" zoomScaleNormal="90" zoomScalePageLayoutView="125" workbookViewId="0">
      <pane xSplit="3" ySplit="5" topLeftCell="D6" activePane="bottomRight" state="frozen"/>
      <selection pane="topRight"/>
      <selection pane="bottomLeft"/>
      <selection pane="bottomRight" activeCell="D1" sqref="D1"/>
    </sheetView>
  </sheetViews>
  <sheetFormatPr defaultColWidth="8.796875" defaultRowHeight="14.25" x14ac:dyDescent="0.45"/>
  <cols>
    <col min="1" max="1" width="3.33203125" style="1" customWidth="1"/>
    <col min="2" max="3" width="11.46484375" style="1" customWidth="1"/>
    <col min="4" max="4" width="20.19921875" style="1" customWidth="1"/>
    <col min="5" max="5" width="18.73046875" style="1" customWidth="1"/>
    <col min="6" max="6" width="9.73046875" style="1" customWidth="1"/>
    <col min="7" max="7" width="53.73046875" style="1" bestFit="1" customWidth="1"/>
    <col min="8" max="8" width="17.19921875" style="6" customWidth="1"/>
    <col min="9" max="9" width="12.796875" style="1" customWidth="1"/>
    <col min="10" max="10" width="8.796875" style="1"/>
    <col min="11" max="11" width="14.46484375" style="1" customWidth="1"/>
    <col min="12" max="15" width="8.73046875" style="1" bestFit="1" customWidth="1"/>
    <col min="16" max="16384" width="8.796875" style="1"/>
  </cols>
  <sheetData>
    <row r="1" spans="1:17" ht="23.25" customHeight="1" x14ac:dyDescent="0.7">
      <c r="D1" s="2">
        <v>46204</v>
      </c>
      <c r="H1" s="3"/>
      <c r="I1" s="50" t="s">
        <v>1</v>
      </c>
      <c r="J1" s="51"/>
      <c r="K1" s="4">
        <f>K3/K2</f>
        <v>1.4025245441795231E-2</v>
      </c>
    </row>
    <row r="2" spans="1:17" x14ac:dyDescent="0.45">
      <c r="H2" s="3"/>
      <c r="I2" s="1" t="s">
        <v>2</v>
      </c>
      <c r="K2" s="5">
        <f>SUM(J6:J53)</f>
        <v>713</v>
      </c>
    </row>
    <row r="3" spans="1:17" x14ac:dyDescent="0.45">
      <c r="H3" s="3"/>
      <c r="I3" s="1" t="s">
        <v>3</v>
      </c>
      <c r="K3" s="1">
        <f>SUMIF(K6:K53,"Yes",J6:J53)</f>
        <v>10</v>
      </c>
    </row>
    <row r="4" spans="1:17" ht="7.5" customHeight="1" x14ac:dyDescent="0.45"/>
    <row r="5" spans="1:17" ht="28.5" x14ac:dyDescent="0.45">
      <c r="A5" s="7"/>
      <c r="B5" s="8" t="s">
        <v>19</v>
      </c>
      <c r="C5" s="9" t="s">
        <v>4</v>
      </c>
      <c r="D5" s="8" t="s">
        <v>14</v>
      </c>
      <c r="E5" s="8" t="s">
        <v>15</v>
      </c>
      <c r="F5" s="8" t="s">
        <v>13</v>
      </c>
      <c r="G5" s="8" t="s">
        <v>12</v>
      </c>
      <c r="H5" s="8" t="s">
        <v>11</v>
      </c>
      <c r="I5" s="8" t="s">
        <v>16</v>
      </c>
      <c r="J5" s="8" t="s">
        <v>0</v>
      </c>
      <c r="K5" s="8" t="s">
        <v>5</v>
      </c>
      <c r="L5" s="8" t="s">
        <v>6</v>
      </c>
      <c r="M5" s="10" t="s">
        <v>7</v>
      </c>
      <c r="N5" s="11" t="s">
        <v>8</v>
      </c>
      <c r="O5" s="12" t="s">
        <v>9</v>
      </c>
    </row>
    <row r="6" spans="1:17" x14ac:dyDescent="0.45">
      <c r="A6" s="13"/>
      <c r="B6" s="30">
        <f>D1+L6</f>
        <v>46205</v>
      </c>
      <c r="C6" s="31">
        <v>46204</v>
      </c>
      <c r="D6" s="36" t="s">
        <v>20</v>
      </c>
      <c r="E6" s="32"/>
      <c r="F6" s="32"/>
      <c r="G6" s="36" t="s">
        <v>21</v>
      </c>
      <c r="H6" s="32"/>
      <c r="I6" s="32"/>
      <c r="J6" s="32"/>
      <c r="K6" s="33" t="s">
        <v>202</v>
      </c>
      <c r="L6" s="34">
        <f>ROUND(VLOOKUP(G6,LessonDays,3,FALSE)*TargetDays/0.25,0)*0.25</f>
        <v>1</v>
      </c>
      <c r="M6" s="16"/>
      <c r="N6" s="17"/>
      <c r="O6" s="18"/>
    </row>
    <row r="7" spans="1:17" x14ac:dyDescent="0.45">
      <c r="A7" s="13"/>
      <c r="B7" s="22">
        <f t="shared" ref="B7:B53" si="0">B6+L7</f>
        <v>46207.033901819501</v>
      </c>
      <c r="C7" s="23">
        <v>46205</v>
      </c>
      <c r="D7" s="1" t="s">
        <v>209</v>
      </c>
      <c r="F7" s="1">
        <v>1.1000000000000001</v>
      </c>
      <c r="G7" s="1" t="s">
        <v>215</v>
      </c>
      <c r="H7" s="1" t="s">
        <v>221</v>
      </c>
      <c r="I7" s="1" t="s">
        <v>239</v>
      </c>
      <c r="J7" s="1">
        <v>10</v>
      </c>
      <c r="K7" s="14" t="s">
        <v>202</v>
      </c>
      <c r="L7" s="15">
        <f t="shared" ref="L7:L13" si="1">VLOOKUP(G7,LessonDays,3,FALSE)*TargetDays</f>
        <v>2.0339018195013221</v>
      </c>
      <c r="M7" s="16">
        <f>SUM($J$6:J7)</f>
        <v>10</v>
      </c>
      <c r="N7" s="17">
        <f t="shared" ref="N7:N53" si="2">SUMIFS(PgCnt,CompFlag,"Yes",ActFDate,"&lt;="&amp;B7)</f>
        <v>10</v>
      </c>
      <c r="O7" s="18">
        <f t="shared" ref="O7:O13" si="3">N7/M7</f>
        <v>1</v>
      </c>
    </row>
    <row r="8" spans="1:17" x14ac:dyDescent="0.45">
      <c r="A8" s="13"/>
      <c r="B8" s="22">
        <f t="shared" si="0"/>
        <v>46208.559328184128</v>
      </c>
      <c r="C8" s="23"/>
      <c r="D8" s="1" t="s">
        <v>209</v>
      </c>
      <c r="F8" s="1">
        <v>1.2</v>
      </c>
      <c r="G8" s="1" t="s">
        <v>216</v>
      </c>
      <c r="H8" s="1" t="s">
        <v>222</v>
      </c>
      <c r="I8" s="1" t="s">
        <v>239</v>
      </c>
      <c r="J8" s="1">
        <v>10</v>
      </c>
      <c r="K8" s="14" t="s">
        <v>10</v>
      </c>
      <c r="L8" s="15">
        <f t="shared" ref="L8" si="4">VLOOKUP(G8,LessonDays,3,FALSE)*TargetDays</f>
        <v>1.5254263646259913</v>
      </c>
      <c r="M8" s="16">
        <f>SUM($J$6:J8)</f>
        <v>20</v>
      </c>
      <c r="N8" s="17">
        <f t="shared" ref="N8" si="5">SUMIFS(PgCnt,CompFlag,"Yes",ActFDate,"&lt;="&amp;B8)</f>
        <v>10</v>
      </c>
      <c r="O8" s="18">
        <f t="shared" ref="O8" si="6">N8/M8</f>
        <v>0.5</v>
      </c>
    </row>
    <row r="9" spans="1:17" x14ac:dyDescent="0.45">
      <c r="A9" s="13"/>
      <c r="B9" s="22">
        <f>B7+L9</f>
        <v>46208.559328184128</v>
      </c>
      <c r="C9" s="23"/>
      <c r="D9" s="1" t="s">
        <v>209</v>
      </c>
      <c r="F9" s="1">
        <v>1.3</v>
      </c>
      <c r="G9" s="1" t="s">
        <v>217</v>
      </c>
      <c r="H9" s="1" t="s">
        <v>223</v>
      </c>
      <c r="I9" s="1" t="s">
        <v>239</v>
      </c>
      <c r="J9" s="1">
        <v>19</v>
      </c>
      <c r="K9" s="14" t="s">
        <v>10</v>
      </c>
      <c r="L9" s="15">
        <f t="shared" si="1"/>
        <v>1.5254263646259913</v>
      </c>
      <c r="M9" s="16">
        <f>SUM($J$6:J9)</f>
        <v>39</v>
      </c>
      <c r="N9" s="17">
        <f t="shared" si="2"/>
        <v>10</v>
      </c>
      <c r="O9" s="18">
        <f t="shared" si="3"/>
        <v>0.25641025641025639</v>
      </c>
    </row>
    <row r="10" spans="1:17" x14ac:dyDescent="0.45">
      <c r="A10" s="13"/>
      <c r="B10" s="22">
        <f t="shared" si="0"/>
        <v>46210.593230003629</v>
      </c>
      <c r="C10" s="23"/>
      <c r="D10" s="1" t="s">
        <v>209</v>
      </c>
      <c r="F10" s="1">
        <v>1.4</v>
      </c>
      <c r="G10" s="1" t="s">
        <v>218</v>
      </c>
      <c r="H10" s="1" t="s">
        <v>224</v>
      </c>
      <c r="I10" s="1" t="s">
        <v>239</v>
      </c>
      <c r="J10" s="1">
        <v>22</v>
      </c>
      <c r="K10" s="14" t="s">
        <v>10</v>
      </c>
      <c r="L10" s="15">
        <f t="shared" si="1"/>
        <v>2.0339018195013221</v>
      </c>
      <c r="M10" s="16">
        <f>SUM($J$6:J10)</f>
        <v>61</v>
      </c>
      <c r="N10" s="17">
        <f t="shared" si="2"/>
        <v>10</v>
      </c>
      <c r="O10" s="18">
        <f t="shared" si="3"/>
        <v>0.16393442622950818</v>
      </c>
    </row>
    <row r="11" spans="1:17" x14ac:dyDescent="0.45">
      <c r="A11" s="13"/>
      <c r="B11" s="22">
        <f t="shared" si="0"/>
        <v>46212.62713182313</v>
      </c>
      <c r="C11" s="23"/>
      <c r="D11" s="1" t="s">
        <v>209</v>
      </c>
      <c r="F11" s="1">
        <v>1.5</v>
      </c>
      <c r="G11" s="1" t="s">
        <v>219</v>
      </c>
      <c r="H11" s="1" t="s">
        <v>295</v>
      </c>
      <c r="I11" s="1" t="s">
        <v>239</v>
      </c>
      <c r="J11" s="1">
        <v>16</v>
      </c>
      <c r="K11" s="14" t="s">
        <v>10</v>
      </c>
      <c r="L11" s="15">
        <f t="shared" si="1"/>
        <v>2.0339018195013221</v>
      </c>
      <c r="M11" s="16">
        <f>SUM($J$6:J11)</f>
        <v>77</v>
      </c>
      <c r="N11" s="17">
        <f t="shared" si="2"/>
        <v>10</v>
      </c>
      <c r="O11" s="18">
        <f t="shared" si="3"/>
        <v>0.12987012987012986</v>
      </c>
    </row>
    <row r="12" spans="1:17" x14ac:dyDescent="0.45">
      <c r="A12" s="13"/>
      <c r="B12" s="22">
        <f t="shared" si="0"/>
        <v>46213.644082732884</v>
      </c>
      <c r="C12" s="23"/>
      <c r="D12" s="1" t="s">
        <v>209</v>
      </c>
      <c r="F12" s="1">
        <v>1.6</v>
      </c>
      <c r="G12" s="1" t="s">
        <v>220</v>
      </c>
      <c r="H12" s="1" t="s">
        <v>220</v>
      </c>
      <c r="I12" s="1" t="s">
        <v>239</v>
      </c>
      <c r="J12" s="1">
        <v>7</v>
      </c>
      <c r="K12" s="14" t="s">
        <v>10</v>
      </c>
      <c r="L12" s="15">
        <f t="shared" si="1"/>
        <v>1.016950909750661</v>
      </c>
      <c r="M12" s="16">
        <f>SUM($J$6:J12)</f>
        <v>84</v>
      </c>
      <c r="N12" s="17">
        <f t="shared" si="2"/>
        <v>10</v>
      </c>
      <c r="O12" s="18">
        <f t="shared" si="3"/>
        <v>0.11904761904761904</v>
      </c>
    </row>
    <row r="13" spans="1:17" x14ac:dyDescent="0.45">
      <c r="A13" s="13"/>
      <c r="B13" s="30">
        <f t="shared" si="0"/>
        <v>46215.677984552385</v>
      </c>
      <c r="C13" s="31"/>
      <c r="D13" s="32" t="s">
        <v>209</v>
      </c>
      <c r="E13" s="32"/>
      <c r="F13" s="32"/>
      <c r="G13" s="32" t="s">
        <v>59</v>
      </c>
      <c r="H13" s="32"/>
      <c r="I13" s="32"/>
      <c r="J13" s="32"/>
      <c r="K13" s="33" t="s">
        <v>10</v>
      </c>
      <c r="L13" s="34">
        <f t="shared" si="1"/>
        <v>2.0339018195013221</v>
      </c>
      <c r="M13" s="16">
        <f>SUM($J$6:J13)</f>
        <v>84</v>
      </c>
      <c r="N13" s="17">
        <f t="shared" si="2"/>
        <v>10</v>
      </c>
      <c r="O13" s="18">
        <f t="shared" si="3"/>
        <v>0.11904761904761904</v>
      </c>
    </row>
    <row r="14" spans="1:17" x14ac:dyDescent="0.45">
      <c r="A14" s="13"/>
      <c r="B14" s="22">
        <f t="shared" si="0"/>
        <v>46218.220361826759</v>
      </c>
      <c r="C14" s="23"/>
      <c r="D14" s="1" t="s">
        <v>210</v>
      </c>
      <c r="F14" s="1">
        <v>2.1</v>
      </c>
      <c r="G14" s="1" t="s">
        <v>271</v>
      </c>
      <c r="H14" s="1" t="s">
        <v>225</v>
      </c>
      <c r="I14" s="1" t="s">
        <v>240</v>
      </c>
      <c r="J14" s="1">
        <v>16</v>
      </c>
      <c r="K14" s="14" t="s">
        <v>10</v>
      </c>
      <c r="L14" s="15">
        <f t="shared" ref="L14:L28" si="7">VLOOKUP(G14,LessonDays,3,FALSE)*TargetDays</f>
        <v>2.5423772743766526</v>
      </c>
      <c r="M14" s="16">
        <f>SUM($J$6:J14)</f>
        <v>100</v>
      </c>
      <c r="N14" s="17">
        <f t="shared" si="2"/>
        <v>10</v>
      </c>
      <c r="O14" s="18">
        <f t="shared" ref="O14:O51" si="8">N14/M14</f>
        <v>0.1</v>
      </c>
      <c r="Q14" s="20"/>
    </row>
    <row r="15" spans="1:17" x14ac:dyDescent="0.45">
      <c r="A15" s="13"/>
      <c r="B15" s="22">
        <f t="shared" si="0"/>
        <v>46218.728837281633</v>
      </c>
      <c r="C15" s="23"/>
      <c r="D15" s="1" t="s">
        <v>210</v>
      </c>
      <c r="F15" s="1">
        <v>2.2000000000000002</v>
      </c>
      <c r="G15" s="1" t="s">
        <v>272</v>
      </c>
      <c r="H15" s="1" t="s">
        <v>226</v>
      </c>
      <c r="I15" s="1" t="s">
        <v>240</v>
      </c>
      <c r="J15" s="1">
        <v>2</v>
      </c>
      <c r="K15" s="14" t="s">
        <v>10</v>
      </c>
      <c r="L15" s="15">
        <f t="shared" si="7"/>
        <v>0.50847545487533052</v>
      </c>
      <c r="M15" s="16">
        <f>SUM($J$6:J15)</f>
        <v>102</v>
      </c>
      <c r="N15" s="17">
        <f t="shared" si="2"/>
        <v>10</v>
      </c>
      <c r="O15" s="18">
        <f t="shared" si="8"/>
        <v>9.8039215686274508E-2</v>
      </c>
      <c r="Q15" s="20"/>
    </row>
    <row r="16" spans="1:17" x14ac:dyDescent="0.45">
      <c r="A16" s="13"/>
      <c r="B16" s="22">
        <f t="shared" si="0"/>
        <v>46220.762739101134</v>
      </c>
      <c r="C16" s="23"/>
      <c r="D16" s="1" t="s">
        <v>210</v>
      </c>
      <c r="F16" s="1">
        <v>2.2999999999999998</v>
      </c>
      <c r="G16" s="1" t="s">
        <v>228</v>
      </c>
      <c r="H16" s="1" t="s">
        <v>227</v>
      </c>
      <c r="I16" s="1" t="s">
        <v>240</v>
      </c>
      <c r="J16" s="1">
        <v>6</v>
      </c>
      <c r="K16" s="14" t="s">
        <v>10</v>
      </c>
      <c r="L16" s="15">
        <f t="shared" si="7"/>
        <v>2.0339018195013221</v>
      </c>
      <c r="M16" s="16">
        <f>SUM($J$6:J16)</f>
        <v>108</v>
      </c>
      <c r="N16" s="17">
        <f t="shared" si="2"/>
        <v>10</v>
      </c>
      <c r="O16" s="18">
        <f t="shared" si="8"/>
        <v>9.2592592592592587E-2</v>
      </c>
    </row>
    <row r="17" spans="1:15" x14ac:dyDescent="0.45">
      <c r="A17" s="13"/>
      <c r="B17" s="22">
        <f t="shared" si="0"/>
        <v>46222.288165465761</v>
      </c>
      <c r="C17" s="23"/>
      <c r="D17" s="1" t="s">
        <v>210</v>
      </c>
      <c r="F17" s="1">
        <v>2.4</v>
      </c>
      <c r="G17" s="1" t="s">
        <v>273</v>
      </c>
      <c r="H17" s="1" t="s">
        <v>273</v>
      </c>
      <c r="I17" s="1" t="s">
        <v>240</v>
      </c>
      <c r="J17" s="1">
        <v>11</v>
      </c>
      <c r="K17" s="14" t="s">
        <v>10</v>
      </c>
      <c r="L17" s="15">
        <f t="shared" si="7"/>
        <v>1.5254263646259913</v>
      </c>
      <c r="M17" s="16">
        <f>SUM($J$6:J17)</f>
        <v>119</v>
      </c>
      <c r="N17" s="17">
        <f t="shared" si="2"/>
        <v>10</v>
      </c>
      <c r="O17" s="18">
        <f t="shared" si="8"/>
        <v>8.4033613445378158E-2</v>
      </c>
    </row>
    <row r="18" spans="1:15" x14ac:dyDescent="0.45">
      <c r="A18" s="13"/>
      <c r="B18" s="22">
        <f t="shared" si="0"/>
        <v>46223.813591830389</v>
      </c>
      <c r="C18" s="23"/>
      <c r="D18" s="1" t="s">
        <v>210</v>
      </c>
      <c r="F18" s="1">
        <v>2.5</v>
      </c>
      <c r="G18" s="1" t="s">
        <v>274</v>
      </c>
      <c r="H18" s="1" t="s">
        <v>229</v>
      </c>
      <c r="I18" s="1" t="s">
        <v>240</v>
      </c>
      <c r="J18" s="1">
        <v>2</v>
      </c>
      <c r="K18" s="14" t="s">
        <v>10</v>
      </c>
      <c r="L18" s="15">
        <f t="shared" si="7"/>
        <v>1.5254263646259913</v>
      </c>
      <c r="M18" s="16">
        <f>SUM($J$6:J18)</f>
        <v>121</v>
      </c>
      <c r="N18" s="17">
        <f t="shared" si="2"/>
        <v>10</v>
      </c>
      <c r="O18" s="18">
        <f t="shared" si="8"/>
        <v>8.2644628099173556E-2</v>
      </c>
    </row>
    <row r="19" spans="1:15" x14ac:dyDescent="0.45">
      <c r="A19" s="13"/>
      <c r="B19" s="22">
        <f t="shared" si="0"/>
        <v>46225.339018195016</v>
      </c>
      <c r="C19" s="23"/>
      <c r="D19" s="1" t="s">
        <v>210</v>
      </c>
      <c r="F19" s="1">
        <v>2.6</v>
      </c>
      <c r="G19" s="1" t="s">
        <v>275</v>
      </c>
      <c r="H19" s="1" t="s">
        <v>275</v>
      </c>
      <c r="I19" s="1" t="s">
        <v>240</v>
      </c>
      <c r="J19" s="1">
        <v>30</v>
      </c>
      <c r="K19" s="14" t="s">
        <v>10</v>
      </c>
      <c r="L19" s="15">
        <f t="shared" si="7"/>
        <v>1.5254263646259913</v>
      </c>
      <c r="M19" s="16">
        <f>SUM($J$6:J19)</f>
        <v>151</v>
      </c>
      <c r="N19" s="17">
        <f t="shared" si="2"/>
        <v>10</v>
      </c>
      <c r="O19" s="18">
        <f t="shared" si="8"/>
        <v>6.6225165562913912E-2</v>
      </c>
    </row>
    <row r="20" spans="1:15" x14ac:dyDescent="0.45">
      <c r="A20" s="13"/>
      <c r="B20" s="22">
        <f t="shared" si="0"/>
        <v>46227.881395469391</v>
      </c>
      <c r="C20" s="23"/>
      <c r="D20" s="1" t="s">
        <v>210</v>
      </c>
      <c r="F20" s="1">
        <v>2.7</v>
      </c>
      <c r="G20" s="48" t="s">
        <v>276</v>
      </c>
      <c r="H20" s="1" t="s">
        <v>297</v>
      </c>
      <c r="I20" s="1" t="s">
        <v>240</v>
      </c>
      <c r="J20" s="1">
        <v>30</v>
      </c>
      <c r="K20" s="14" t="s">
        <v>10</v>
      </c>
      <c r="L20" s="15">
        <f t="shared" si="7"/>
        <v>2.5423772743766526</v>
      </c>
      <c r="M20" s="16">
        <f>SUM($J$6:J20)</f>
        <v>181</v>
      </c>
      <c r="N20" s="17">
        <f t="shared" si="2"/>
        <v>10</v>
      </c>
      <c r="O20" s="18">
        <f t="shared" si="8"/>
        <v>5.5248618784530384E-2</v>
      </c>
    </row>
    <row r="21" spans="1:15" x14ac:dyDescent="0.45">
      <c r="A21" s="13"/>
      <c r="B21" s="22">
        <f t="shared" si="0"/>
        <v>46229.915297288891</v>
      </c>
      <c r="C21" s="23"/>
      <c r="D21" s="1" t="s">
        <v>210</v>
      </c>
      <c r="F21" s="1">
        <v>2.8</v>
      </c>
      <c r="G21" s="1" t="s">
        <v>277</v>
      </c>
      <c r="H21" s="1" t="s">
        <v>230</v>
      </c>
      <c r="I21" s="1" t="s">
        <v>240</v>
      </c>
      <c r="J21" s="1">
        <v>11</v>
      </c>
      <c r="K21" s="14" t="s">
        <v>10</v>
      </c>
      <c r="L21" s="15">
        <f t="shared" si="7"/>
        <v>2.0339018195013221</v>
      </c>
      <c r="M21" s="16">
        <f>SUM($J$6:J21)</f>
        <v>192</v>
      </c>
      <c r="N21" s="17">
        <f t="shared" si="2"/>
        <v>10</v>
      </c>
      <c r="O21" s="18">
        <f t="shared" si="8"/>
        <v>5.2083333333333336E-2</v>
      </c>
    </row>
    <row r="22" spans="1:15" x14ac:dyDescent="0.45">
      <c r="A22" s="13"/>
      <c r="B22" s="22">
        <f t="shared" si="0"/>
        <v>46231.949199108392</v>
      </c>
      <c r="C22" s="23"/>
      <c r="D22" s="1" t="s">
        <v>210</v>
      </c>
      <c r="F22" s="1">
        <v>2.9</v>
      </c>
      <c r="G22" t="s">
        <v>278</v>
      </c>
      <c r="H22" s="1" t="s">
        <v>231</v>
      </c>
      <c r="I22" s="1" t="s">
        <v>240</v>
      </c>
      <c r="J22" s="1">
        <v>20</v>
      </c>
      <c r="K22" s="14" t="s">
        <v>10</v>
      </c>
      <c r="L22" s="15">
        <f t="shared" si="7"/>
        <v>2.0339018195013221</v>
      </c>
      <c r="M22" s="16">
        <f>SUM($J$6:J22)</f>
        <v>212</v>
      </c>
      <c r="N22" s="17">
        <f t="shared" si="2"/>
        <v>10</v>
      </c>
      <c r="O22" s="18">
        <f t="shared" si="8"/>
        <v>4.716981132075472E-2</v>
      </c>
    </row>
    <row r="23" spans="1:15" x14ac:dyDescent="0.45">
      <c r="A23" s="13"/>
      <c r="B23" s="22">
        <f t="shared" si="0"/>
        <v>46233.983100927893</v>
      </c>
      <c r="C23" s="23"/>
      <c r="D23" s="1" t="s">
        <v>210</v>
      </c>
      <c r="F23" s="15">
        <v>2.1</v>
      </c>
      <c r="G23" s="1" t="s">
        <v>298</v>
      </c>
      <c r="H23" s="1" t="s">
        <v>296</v>
      </c>
      <c r="I23" s="1" t="s">
        <v>240</v>
      </c>
      <c r="J23" s="1">
        <v>18</v>
      </c>
      <c r="K23" s="14" t="s">
        <v>10</v>
      </c>
      <c r="L23" s="15">
        <f t="shared" ref="L23:L24" si="9">VLOOKUP(G23,LessonDays,3,FALSE)*TargetDays</f>
        <v>2.0339018195013221</v>
      </c>
      <c r="M23" s="16">
        <f>SUM($J$6:J23)</f>
        <v>230</v>
      </c>
      <c r="N23" s="17">
        <f t="shared" ref="N23:N24" si="10">SUMIFS(PgCnt,CompFlag,"Yes",ActFDate,"&lt;="&amp;B23)</f>
        <v>10</v>
      </c>
      <c r="O23" s="18">
        <f t="shared" ref="O23:O24" si="11">N23/M23</f>
        <v>4.3478260869565216E-2</v>
      </c>
    </row>
    <row r="24" spans="1:15" x14ac:dyDescent="0.45">
      <c r="A24" s="13"/>
      <c r="B24" s="22">
        <f t="shared" si="0"/>
        <v>46236.017002747394</v>
      </c>
      <c r="C24" s="23"/>
      <c r="D24" s="1" t="s">
        <v>210</v>
      </c>
      <c r="F24" s="1">
        <v>2.11</v>
      </c>
      <c r="G24" t="s">
        <v>280</v>
      </c>
      <c r="H24" t="s">
        <v>232</v>
      </c>
      <c r="I24" s="1" t="s">
        <v>240</v>
      </c>
      <c r="J24" s="1">
        <v>18</v>
      </c>
      <c r="K24" s="14" t="s">
        <v>10</v>
      </c>
      <c r="L24" s="15">
        <f t="shared" si="9"/>
        <v>2.0339018195013221</v>
      </c>
      <c r="M24" s="16">
        <f>SUM($J$6:J24)</f>
        <v>248</v>
      </c>
      <c r="N24" s="17">
        <f t="shared" si="10"/>
        <v>10</v>
      </c>
      <c r="O24" s="18">
        <f t="shared" si="11"/>
        <v>4.0322580645161289E-2</v>
      </c>
    </row>
    <row r="25" spans="1:15" x14ac:dyDescent="0.45">
      <c r="A25" s="13"/>
      <c r="B25" s="22">
        <f t="shared" si="0"/>
        <v>46237.542429112022</v>
      </c>
      <c r="C25" s="23"/>
      <c r="D25" s="1" t="s">
        <v>210</v>
      </c>
      <c r="F25" s="1">
        <v>2.12</v>
      </c>
      <c r="G25" s="1" t="s">
        <v>281</v>
      </c>
      <c r="H25" s="1" t="s">
        <v>281</v>
      </c>
      <c r="I25" s="1" t="s">
        <v>240</v>
      </c>
      <c r="J25" s="1">
        <v>21</v>
      </c>
      <c r="K25" s="14" t="s">
        <v>10</v>
      </c>
      <c r="L25" s="15">
        <f t="shared" ref="L25:L26" si="12">VLOOKUP(G25,LessonDays,3,FALSE)*TargetDays</f>
        <v>1.5254263646259913</v>
      </c>
      <c r="M25" s="16">
        <f>SUM($J$6:J25)</f>
        <v>269</v>
      </c>
      <c r="N25" s="17">
        <f t="shared" ref="N25:N26" si="13">SUMIFS(PgCnt,CompFlag,"Yes",ActFDate,"&lt;="&amp;B25)</f>
        <v>10</v>
      </c>
      <c r="O25" s="18">
        <f t="shared" ref="O25:O26" si="14">N25/M25</f>
        <v>3.717472118959108E-2</v>
      </c>
    </row>
    <row r="26" spans="1:15" x14ac:dyDescent="0.45">
      <c r="A26" s="13"/>
      <c r="B26" s="22">
        <f t="shared" si="0"/>
        <v>46238.559380021776</v>
      </c>
      <c r="C26" s="23"/>
      <c r="D26" s="1" t="s">
        <v>210</v>
      </c>
      <c r="F26" s="1">
        <v>2.13</v>
      </c>
      <c r="G26" t="s">
        <v>234</v>
      </c>
      <c r="H26" t="s">
        <v>233</v>
      </c>
      <c r="I26" s="1" t="s">
        <v>240</v>
      </c>
      <c r="J26" s="1">
        <v>8</v>
      </c>
      <c r="K26" s="14" t="s">
        <v>10</v>
      </c>
      <c r="L26" s="15">
        <f t="shared" si="12"/>
        <v>1.016950909750661</v>
      </c>
      <c r="M26" s="16">
        <f>SUM($J$6:J26)</f>
        <v>277</v>
      </c>
      <c r="N26" s="17">
        <f t="shared" si="13"/>
        <v>10</v>
      </c>
      <c r="O26" s="18">
        <f t="shared" si="14"/>
        <v>3.6101083032490974E-2</v>
      </c>
    </row>
    <row r="27" spans="1:15" x14ac:dyDescent="0.45">
      <c r="A27" s="13"/>
      <c r="B27" s="22">
        <f t="shared" si="0"/>
        <v>46239.57633093153</v>
      </c>
      <c r="C27" s="23"/>
      <c r="D27" s="1" t="s">
        <v>210</v>
      </c>
      <c r="F27" s="1">
        <v>2.14</v>
      </c>
      <c r="G27" s="1" t="s">
        <v>83</v>
      </c>
      <c r="H27" s="1" t="s">
        <v>86</v>
      </c>
      <c r="I27" s="1" t="s">
        <v>240</v>
      </c>
      <c r="J27" s="1">
        <v>8</v>
      </c>
      <c r="K27" s="14" t="s">
        <v>10</v>
      </c>
      <c r="L27" s="15">
        <f t="shared" si="7"/>
        <v>1.016950909750661</v>
      </c>
      <c r="M27" s="16">
        <f>SUM($J$6:J27)</f>
        <v>285</v>
      </c>
      <c r="N27" s="17">
        <f t="shared" si="2"/>
        <v>10</v>
      </c>
      <c r="O27" s="18">
        <f t="shared" si="8"/>
        <v>3.5087719298245612E-2</v>
      </c>
    </row>
    <row r="28" spans="1:15" x14ac:dyDescent="0.45">
      <c r="A28" s="13"/>
      <c r="B28" s="22">
        <f t="shared" si="0"/>
        <v>46240.593281841284</v>
      </c>
      <c r="C28" s="23"/>
      <c r="D28" s="1" t="s">
        <v>210</v>
      </c>
      <c r="F28" s="1">
        <v>2.15</v>
      </c>
      <c r="G28" t="s">
        <v>84</v>
      </c>
      <c r="H28" t="s">
        <v>85</v>
      </c>
      <c r="I28" s="1" t="s">
        <v>240</v>
      </c>
      <c r="J28" s="1">
        <v>11</v>
      </c>
      <c r="K28" s="14" t="s">
        <v>10</v>
      </c>
      <c r="L28" s="15">
        <f t="shared" si="7"/>
        <v>1.016950909750661</v>
      </c>
      <c r="M28" s="16">
        <f>SUM($J$6:J28)</f>
        <v>296</v>
      </c>
      <c r="N28" s="17">
        <f t="shared" si="2"/>
        <v>10</v>
      </c>
      <c r="O28" s="18">
        <f t="shared" si="8"/>
        <v>3.3783783783783786E-2</v>
      </c>
    </row>
    <row r="29" spans="1:15" x14ac:dyDescent="0.45">
      <c r="A29" s="13"/>
      <c r="B29" s="30">
        <f t="shared" si="0"/>
        <v>46242.627183660785</v>
      </c>
      <c r="C29" s="31"/>
      <c r="D29" s="32" t="s">
        <v>210</v>
      </c>
      <c r="E29" s="32"/>
      <c r="F29" s="32"/>
      <c r="G29" s="32" t="s">
        <v>60</v>
      </c>
      <c r="H29" s="32"/>
      <c r="I29" s="32"/>
      <c r="J29" s="32"/>
      <c r="K29" s="33" t="s">
        <v>10</v>
      </c>
      <c r="L29" s="34">
        <f>VLOOKUP(G29,LessonDays,3,FALSE)*TargetDays</f>
        <v>2.0339018195013221</v>
      </c>
      <c r="M29" s="16">
        <f>SUM($J$6:J29)</f>
        <v>296</v>
      </c>
      <c r="N29" s="17">
        <f t="shared" si="2"/>
        <v>10</v>
      </c>
      <c r="O29" s="18">
        <f t="shared" si="8"/>
        <v>3.3783783783783786E-2</v>
      </c>
    </row>
    <row r="30" spans="1:15" x14ac:dyDescent="0.45">
      <c r="A30" s="13"/>
      <c r="B30" s="22">
        <f t="shared" si="0"/>
        <v>46246.694987299787</v>
      </c>
      <c r="C30" s="23"/>
      <c r="D30" s="1" t="s">
        <v>211</v>
      </c>
      <c r="F30" s="1">
        <v>3.1</v>
      </c>
      <c r="G30" t="s">
        <v>251</v>
      </c>
      <c r="H30" s="1" t="s">
        <v>235</v>
      </c>
      <c r="I30" s="1" t="s">
        <v>241</v>
      </c>
      <c r="J30" s="1">
        <v>16</v>
      </c>
      <c r="K30" s="14" t="s">
        <v>10</v>
      </c>
      <c r="L30" s="15">
        <f t="shared" ref="L30:L38" si="15">VLOOKUP(G30,LessonDays,3,FALSE)*TargetDays</f>
        <v>4.0678036390026442</v>
      </c>
      <c r="M30" s="16">
        <f>SUM($J$6:J30)</f>
        <v>312</v>
      </c>
      <c r="N30" s="17">
        <f t="shared" ref="N30:N37" si="16">SUMIFS(PgCnt,CompFlag,"Yes",ActFDate,"&lt;="&amp;B30)</f>
        <v>10</v>
      </c>
      <c r="O30" s="18">
        <f t="shared" si="8"/>
        <v>3.2051282051282048E-2</v>
      </c>
    </row>
    <row r="31" spans="1:15" x14ac:dyDescent="0.45">
      <c r="A31" s="13"/>
      <c r="B31" s="22">
        <f t="shared" si="0"/>
        <v>46250.762790938788</v>
      </c>
      <c r="C31" s="23"/>
      <c r="D31" s="1" t="s">
        <v>211</v>
      </c>
      <c r="F31" s="1">
        <v>3.2</v>
      </c>
      <c r="G31" s="1" t="s">
        <v>252</v>
      </c>
      <c r="H31" s="1" t="s">
        <v>236</v>
      </c>
      <c r="I31" s="1" t="s">
        <v>241</v>
      </c>
      <c r="J31" s="1">
        <v>44</v>
      </c>
      <c r="K31" s="14" t="s">
        <v>10</v>
      </c>
      <c r="L31" s="15">
        <f t="shared" si="15"/>
        <v>4.0678036390026442</v>
      </c>
      <c r="M31" s="16">
        <f>SUM($J$6:J31)</f>
        <v>356</v>
      </c>
      <c r="N31" s="17">
        <f t="shared" si="16"/>
        <v>10</v>
      </c>
      <c r="O31" s="18">
        <f t="shared" si="8"/>
        <v>2.8089887640449437E-2</v>
      </c>
    </row>
    <row r="32" spans="1:15" x14ac:dyDescent="0.45">
      <c r="A32" s="13"/>
      <c r="B32" s="22">
        <f t="shared" si="0"/>
        <v>46252.796692758289</v>
      </c>
      <c r="C32" s="23"/>
      <c r="D32" s="1" t="s">
        <v>211</v>
      </c>
      <c r="F32" s="1">
        <v>3.3</v>
      </c>
      <c r="G32" t="s">
        <v>253</v>
      </c>
      <c r="H32" s="1" t="s">
        <v>286</v>
      </c>
      <c r="I32" s="1" t="s">
        <v>241</v>
      </c>
      <c r="J32" s="1">
        <v>11</v>
      </c>
      <c r="K32" s="14" t="s">
        <v>10</v>
      </c>
      <c r="L32" s="15">
        <f t="shared" si="15"/>
        <v>2.0339018195013221</v>
      </c>
      <c r="M32" s="16">
        <f>SUM($J$6:J32)</f>
        <v>367</v>
      </c>
      <c r="N32" s="17">
        <f t="shared" si="16"/>
        <v>10</v>
      </c>
      <c r="O32" s="18">
        <f t="shared" si="8"/>
        <v>2.7247956403269755E-2</v>
      </c>
    </row>
    <row r="33" spans="1:15" x14ac:dyDescent="0.45">
      <c r="A33" s="13"/>
      <c r="B33" s="22">
        <f t="shared" si="0"/>
        <v>46255.339070032664</v>
      </c>
      <c r="C33" s="23"/>
      <c r="D33" s="1" t="s">
        <v>211</v>
      </c>
      <c r="F33" s="1">
        <v>3.4</v>
      </c>
      <c r="G33" t="s">
        <v>282</v>
      </c>
      <c r="H33" s="1" t="s">
        <v>237</v>
      </c>
      <c r="I33" s="1" t="s">
        <v>241</v>
      </c>
      <c r="J33" s="1">
        <v>19</v>
      </c>
      <c r="K33" s="14" t="s">
        <v>10</v>
      </c>
      <c r="L33" s="15">
        <f t="shared" si="15"/>
        <v>2.5423772743766526</v>
      </c>
      <c r="M33" s="16">
        <f>SUM($J$6:J33)</f>
        <v>386</v>
      </c>
      <c r="N33" s="17">
        <f t="shared" si="16"/>
        <v>10</v>
      </c>
      <c r="O33" s="18">
        <f t="shared" si="8"/>
        <v>2.5906735751295335E-2</v>
      </c>
    </row>
    <row r="34" spans="1:15" x14ac:dyDescent="0.45">
      <c r="A34" s="13"/>
      <c r="B34" s="22">
        <f t="shared" si="0"/>
        <v>46255.847545487537</v>
      </c>
      <c r="C34" s="23"/>
      <c r="D34" s="1" t="s">
        <v>211</v>
      </c>
      <c r="F34" s="1">
        <v>3.5</v>
      </c>
      <c r="G34" t="s">
        <v>283</v>
      </c>
      <c r="H34" s="1" t="s">
        <v>238</v>
      </c>
      <c r="I34" s="1" t="s">
        <v>241</v>
      </c>
      <c r="J34" s="1">
        <v>1</v>
      </c>
      <c r="K34" s="14" t="s">
        <v>10</v>
      </c>
      <c r="L34" s="15">
        <f t="shared" si="15"/>
        <v>0.50847545487533052</v>
      </c>
      <c r="M34" s="16">
        <f>SUM($J$6:J34)</f>
        <v>387</v>
      </c>
      <c r="N34" s="17">
        <f t="shared" si="16"/>
        <v>10</v>
      </c>
      <c r="O34" s="18">
        <f t="shared" si="8"/>
        <v>2.5839793281653745E-2</v>
      </c>
    </row>
    <row r="35" spans="1:15" x14ac:dyDescent="0.45">
      <c r="A35" s="13"/>
      <c r="B35" s="30">
        <f t="shared" si="0"/>
        <v>46257.881447307038</v>
      </c>
      <c r="C35" s="31"/>
      <c r="D35" s="32" t="s">
        <v>211</v>
      </c>
      <c r="E35" s="32"/>
      <c r="F35" s="32"/>
      <c r="G35" s="32" t="s">
        <v>61</v>
      </c>
      <c r="H35" s="32"/>
      <c r="I35" s="32"/>
      <c r="J35" s="32"/>
      <c r="K35" s="33" t="s">
        <v>10</v>
      </c>
      <c r="L35" s="34">
        <f t="shared" si="15"/>
        <v>2.0339018195013221</v>
      </c>
      <c r="M35" s="16">
        <f>SUM($J$6:J35)</f>
        <v>387</v>
      </c>
      <c r="N35" s="17">
        <f t="shared" si="16"/>
        <v>10</v>
      </c>
      <c r="O35" s="18">
        <f t="shared" si="8"/>
        <v>2.5839793281653745E-2</v>
      </c>
    </row>
    <row r="36" spans="1:15" x14ac:dyDescent="0.45">
      <c r="A36" s="13"/>
      <c r="B36" s="22">
        <f t="shared" si="0"/>
        <v>46259.406873671665</v>
      </c>
      <c r="C36" s="23"/>
      <c r="D36" s="1" t="s">
        <v>212</v>
      </c>
      <c r="F36" s="1">
        <v>4.0999999999999996</v>
      </c>
      <c r="G36" t="s">
        <v>288</v>
      </c>
      <c r="H36" s="1" t="s">
        <v>243</v>
      </c>
      <c r="I36" s="1" t="s">
        <v>242</v>
      </c>
      <c r="J36" s="1">
        <v>8</v>
      </c>
      <c r="K36" s="14" t="s">
        <v>10</v>
      </c>
      <c r="L36" s="15">
        <f t="shared" si="15"/>
        <v>1.5254263646259913</v>
      </c>
      <c r="M36" s="16">
        <f>SUM($J$6:J36)</f>
        <v>395</v>
      </c>
      <c r="N36" s="17">
        <f t="shared" si="16"/>
        <v>10</v>
      </c>
      <c r="O36" s="18">
        <f t="shared" si="8"/>
        <v>2.5316455696202531E-2</v>
      </c>
    </row>
    <row r="37" spans="1:15" x14ac:dyDescent="0.45">
      <c r="A37" s="13"/>
      <c r="B37" s="22">
        <f t="shared" si="0"/>
        <v>46263.474677310667</v>
      </c>
      <c r="C37" s="23"/>
      <c r="D37" s="1" t="s">
        <v>212</v>
      </c>
      <c r="F37" s="1">
        <v>4.2</v>
      </c>
      <c r="G37" t="s">
        <v>287</v>
      </c>
      <c r="H37" s="1" t="s">
        <v>244</v>
      </c>
      <c r="I37" s="1" t="s">
        <v>242</v>
      </c>
      <c r="J37" s="1">
        <v>50</v>
      </c>
      <c r="K37" s="14" t="s">
        <v>10</v>
      </c>
      <c r="L37" s="15">
        <f t="shared" si="15"/>
        <v>4.0678036390026442</v>
      </c>
      <c r="M37" s="16">
        <f>SUM($J$6:J37)</f>
        <v>445</v>
      </c>
      <c r="N37" s="17">
        <f t="shared" ref="N37:N40" si="17">SUMIFS(PgCnt,CompFlag,"Yes",ActFDate,"&lt;="&amp;B37)</f>
        <v>10</v>
      </c>
      <c r="O37" s="18">
        <f t="shared" ref="O37:O40" si="18">N37/M37</f>
        <v>2.247191011235955E-2</v>
      </c>
    </row>
    <row r="38" spans="1:15" x14ac:dyDescent="0.45">
      <c r="A38" s="13"/>
      <c r="B38" s="22">
        <f t="shared" si="0"/>
        <v>46266.017054585041</v>
      </c>
      <c r="C38" s="23"/>
      <c r="D38" s="1" t="s">
        <v>212</v>
      </c>
      <c r="F38" s="1">
        <v>4.3</v>
      </c>
      <c r="G38" t="s">
        <v>299</v>
      </c>
      <c r="H38" s="1" t="s">
        <v>299</v>
      </c>
      <c r="I38" s="1" t="s">
        <v>242</v>
      </c>
      <c r="J38" s="1">
        <v>20</v>
      </c>
      <c r="K38" s="14" t="s">
        <v>10</v>
      </c>
      <c r="L38" s="15">
        <f t="shared" si="15"/>
        <v>2.5423772743766526</v>
      </c>
      <c r="M38" s="16">
        <f>SUM($J$6:J38)</f>
        <v>465</v>
      </c>
      <c r="N38" s="17">
        <f t="shared" si="17"/>
        <v>10</v>
      </c>
      <c r="O38" s="18">
        <f t="shared" si="18"/>
        <v>2.1505376344086023E-2</v>
      </c>
    </row>
    <row r="39" spans="1:15" x14ac:dyDescent="0.45">
      <c r="A39" s="13"/>
      <c r="B39" s="30">
        <f t="shared" si="0"/>
        <v>46268.050956404542</v>
      </c>
      <c r="C39" s="31"/>
      <c r="D39" s="32" t="s">
        <v>212</v>
      </c>
      <c r="E39" s="32"/>
      <c r="F39" s="32"/>
      <c r="G39" s="32" t="s">
        <v>170</v>
      </c>
      <c r="H39" s="32"/>
      <c r="I39" s="32"/>
      <c r="J39" s="32"/>
      <c r="K39" s="33" t="s">
        <v>10</v>
      </c>
      <c r="L39" s="34">
        <f t="shared" ref="L38:L39" si="19">VLOOKUP(G39,LessonDays,3,FALSE)*TargetDays</f>
        <v>2.0339018195013221</v>
      </c>
      <c r="M39" s="16">
        <f>SUM($J$6:J39)</f>
        <v>465</v>
      </c>
      <c r="N39" s="17">
        <f t="shared" si="17"/>
        <v>10</v>
      </c>
      <c r="O39" s="18">
        <f t="shared" si="18"/>
        <v>2.1505376344086023E-2</v>
      </c>
    </row>
    <row r="40" spans="1:15" x14ac:dyDescent="0.45">
      <c r="A40" s="13"/>
      <c r="B40" s="22">
        <f t="shared" si="0"/>
        <v>46270.593333678917</v>
      </c>
      <c r="C40" s="23"/>
      <c r="D40" s="1" t="s">
        <v>213</v>
      </c>
      <c r="F40" s="1">
        <v>5.0999999999999996</v>
      </c>
      <c r="G40" t="s">
        <v>284</v>
      </c>
      <c r="H40" s="1" t="s">
        <v>246</v>
      </c>
      <c r="I40" s="1" t="s">
        <v>245</v>
      </c>
      <c r="J40" s="1">
        <v>28</v>
      </c>
      <c r="K40" s="14" t="s">
        <v>10</v>
      </c>
      <c r="L40" s="15">
        <f t="shared" ref="L40:L51" si="20">VLOOKUP(G40,LessonDays,3,FALSE)*TargetDays</f>
        <v>2.5423772743766526</v>
      </c>
      <c r="M40" s="16">
        <f>SUM($J$6:J40)</f>
        <v>493</v>
      </c>
      <c r="N40" s="17">
        <f t="shared" si="17"/>
        <v>10</v>
      </c>
      <c r="O40" s="18">
        <f t="shared" si="18"/>
        <v>2.0283975659229209E-2</v>
      </c>
    </row>
    <row r="41" spans="1:15" x14ac:dyDescent="0.45">
      <c r="A41" s="13"/>
      <c r="B41" s="22">
        <f t="shared" si="0"/>
        <v>46272.627235498418</v>
      </c>
      <c r="C41" s="23"/>
      <c r="D41" s="1" t="s">
        <v>213</v>
      </c>
      <c r="F41" s="1">
        <v>5.2</v>
      </c>
      <c r="G41" t="s">
        <v>285</v>
      </c>
      <c r="H41" s="1" t="s">
        <v>247</v>
      </c>
      <c r="I41" s="1" t="s">
        <v>245</v>
      </c>
      <c r="J41" s="1">
        <v>17</v>
      </c>
      <c r="K41" s="14" t="s">
        <v>10</v>
      </c>
      <c r="L41" s="15">
        <f t="shared" si="20"/>
        <v>2.0339018195013221</v>
      </c>
      <c r="M41" s="16">
        <f>SUM($J$6:J41)</f>
        <v>510</v>
      </c>
      <c r="N41" s="17">
        <f t="shared" ref="N40:N51" si="21">SUMIFS(PgCnt,CompFlag,"Yes",ActFDate,"&lt;="&amp;B41)</f>
        <v>10</v>
      </c>
      <c r="O41" s="18">
        <f t="shared" si="8"/>
        <v>1.9607843137254902E-2</v>
      </c>
    </row>
    <row r="42" spans="1:15" x14ac:dyDescent="0.45">
      <c r="A42" s="13"/>
      <c r="B42" s="22">
        <f t="shared" si="0"/>
        <v>46273.644186408172</v>
      </c>
      <c r="C42" s="23"/>
      <c r="D42" s="1" t="s">
        <v>213</v>
      </c>
      <c r="F42" s="1">
        <v>5.3</v>
      </c>
      <c r="G42" s="1" t="s">
        <v>249</v>
      </c>
      <c r="H42" s="1" t="s">
        <v>248</v>
      </c>
      <c r="I42" s="1" t="s">
        <v>245</v>
      </c>
      <c r="J42" s="1">
        <v>11</v>
      </c>
      <c r="K42" s="14" t="s">
        <v>10</v>
      </c>
      <c r="L42" s="15">
        <f t="shared" si="20"/>
        <v>1.016950909750661</v>
      </c>
      <c r="M42" s="16">
        <f>SUM($J$6:J42)</f>
        <v>521</v>
      </c>
      <c r="N42" s="17">
        <f t="shared" ref="N42:N50" si="22">SUMIFS(PgCnt,CompFlag,"Yes",ActFDate,"&lt;="&amp;B42)</f>
        <v>10</v>
      </c>
      <c r="O42" s="18">
        <f t="shared" ref="O42:O50" si="23">N42/M42</f>
        <v>1.9193857965451054E-2</v>
      </c>
    </row>
    <row r="43" spans="1:15" x14ac:dyDescent="0.45">
      <c r="A43" s="13"/>
      <c r="B43" s="30">
        <f t="shared" si="0"/>
        <v>46275.678088227673</v>
      </c>
      <c r="C43" s="31"/>
      <c r="D43" s="32" t="s">
        <v>213</v>
      </c>
      <c r="E43" s="32"/>
      <c r="F43" s="32"/>
      <c r="G43" s="32" t="s">
        <v>204</v>
      </c>
      <c r="H43" s="32"/>
      <c r="I43" s="32"/>
      <c r="J43" s="32"/>
      <c r="K43" s="33" t="s">
        <v>10</v>
      </c>
      <c r="L43" s="34">
        <f t="shared" si="20"/>
        <v>2.0339018195013221</v>
      </c>
      <c r="M43" s="16">
        <f>SUM($J$6:J43)</f>
        <v>521</v>
      </c>
      <c r="N43" s="17">
        <f t="shared" si="22"/>
        <v>10</v>
      </c>
      <c r="O43" s="18">
        <f t="shared" si="23"/>
        <v>1.9193857965451054E-2</v>
      </c>
    </row>
    <row r="44" spans="1:15" x14ac:dyDescent="0.45">
      <c r="A44" s="13"/>
      <c r="B44" s="22">
        <f t="shared" si="0"/>
        <v>46277.2035145923</v>
      </c>
      <c r="C44" s="23"/>
      <c r="D44" s="1" t="s">
        <v>214</v>
      </c>
      <c r="F44" s="1">
        <v>6.1</v>
      </c>
      <c r="G44" s="1" t="s">
        <v>264</v>
      </c>
      <c r="H44" s="1" t="s">
        <v>254</v>
      </c>
      <c r="I44" s="1" t="s">
        <v>260</v>
      </c>
      <c r="J44" s="1">
        <v>11</v>
      </c>
      <c r="K44" s="14" t="s">
        <v>10</v>
      </c>
      <c r="L44" s="15">
        <f t="shared" si="20"/>
        <v>1.5254263646259913</v>
      </c>
      <c r="M44" s="16">
        <f>SUM($J$6:J44)</f>
        <v>532</v>
      </c>
      <c r="N44" s="17">
        <f t="shared" si="22"/>
        <v>10</v>
      </c>
      <c r="O44" s="18">
        <f t="shared" si="23"/>
        <v>1.8796992481203006E-2</v>
      </c>
    </row>
    <row r="45" spans="1:15" x14ac:dyDescent="0.45">
      <c r="A45" s="13"/>
      <c r="B45" s="22">
        <f t="shared" si="0"/>
        <v>46280.254367321555</v>
      </c>
      <c r="C45" s="23"/>
      <c r="D45" s="1" t="s">
        <v>214</v>
      </c>
      <c r="F45" s="1">
        <v>6.2</v>
      </c>
      <c r="G45" s="1" t="s">
        <v>267</v>
      </c>
      <c r="H45" s="1" t="s">
        <v>256</v>
      </c>
      <c r="I45" s="1" t="s">
        <v>260</v>
      </c>
      <c r="J45" s="1">
        <v>35</v>
      </c>
      <c r="K45" s="14" t="s">
        <v>10</v>
      </c>
      <c r="L45" s="15">
        <f t="shared" si="20"/>
        <v>3.0508527292519827</v>
      </c>
      <c r="M45" s="16">
        <f>SUM($J$6:J45)</f>
        <v>567</v>
      </c>
      <c r="N45" s="17">
        <f t="shared" si="22"/>
        <v>10</v>
      </c>
      <c r="O45" s="18">
        <f t="shared" si="23"/>
        <v>1.7636684303350969E-2</v>
      </c>
    </row>
    <row r="46" spans="1:15" x14ac:dyDescent="0.45">
      <c r="A46" s="13"/>
      <c r="B46" s="22">
        <f t="shared" si="0"/>
        <v>46283.30522005081</v>
      </c>
      <c r="C46" s="23"/>
      <c r="D46" s="1" t="s">
        <v>214</v>
      </c>
      <c r="F46" s="1">
        <v>6.3</v>
      </c>
      <c r="G46" s="1" t="s">
        <v>265</v>
      </c>
      <c r="H46" s="1" t="s">
        <v>255</v>
      </c>
      <c r="I46" s="1" t="s">
        <v>260</v>
      </c>
      <c r="J46" s="1">
        <v>42</v>
      </c>
      <c r="K46" s="14" t="s">
        <v>10</v>
      </c>
      <c r="L46" s="15">
        <f t="shared" si="20"/>
        <v>3.0508527292519827</v>
      </c>
      <c r="M46" s="16">
        <f>SUM($J$6:J46)</f>
        <v>609</v>
      </c>
      <c r="N46" s="17">
        <f t="shared" si="22"/>
        <v>10</v>
      </c>
      <c r="O46" s="18">
        <f t="shared" si="23"/>
        <v>1.6420361247947456E-2</v>
      </c>
    </row>
    <row r="47" spans="1:15" x14ac:dyDescent="0.45">
      <c r="A47" s="13"/>
      <c r="B47" s="22">
        <f t="shared" si="0"/>
        <v>46285.847597325184</v>
      </c>
      <c r="C47" s="23"/>
      <c r="D47" s="1" t="s">
        <v>214</v>
      </c>
      <c r="F47" s="1">
        <v>6.4</v>
      </c>
      <c r="G47" s="1" t="s">
        <v>262</v>
      </c>
      <c r="H47" s="1" t="s">
        <v>262</v>
      </c>
      <c r="I47" s="1" t="s">
        <v>260</v>
      </c>
      <c r="J47" s="1">
        <v>14</v>
      </c>
      <c r="K47" s="14" t="s">
        <v>10</v>
      </c>
      <c r="L47" s="15">
        <f t="shared" si="20"/>
        <v>2.5423772743766526</v>
      </c>
      <c r="M47" s="16">
        <f>SUM($J$6:J47)</f>
        <v>623</v>
      </c>
      <c r="N47" s="17">
        <f t="shared" si="22"/>
        <v>10</v>
      </c>
      <c r="O47" s="18">
        <f t="shared" si="23"/>
        <v>1.6051364365971106E-2</v>
      </c>
    </row>
    <row r="48" spans="1:15" x14ac:dyDescent="0.45">
      <c r="A48" s="13"/>
      <c r="B48" s="22">
        <f t="shared" si="0"/>
        <v>46288.389974599559</v>
      </c>
      <c r="C48" s="23"/>
      <c r="D48" s="1" t="s">
        <v>214</v>
      </c>
      <c r="F48" s="1">
        <v>6.5</v>
      </c>
      <c r="G48" s="1" t="s">
        <v>263</v>
      </c>
      <c r="H48" s="1" t="s">
        <v>263</v>
      </c>
      <c r="I48" s="1" t="s">
        <v>260</v>
      </c>
      <c r="J48" s="1">
        <v>18</v>
      </c>
      <c r="K48" s="14" t="s">
        <v>10</v>
      </c>
      <c r="L48" s="15">
        <f t="shared" si="20"/>
        <v>2.5423772743766526</v>
      </c>
      <c r="M48" s="16">
        <f>SUM($J$6:J48)</f>
        <v>641</v>
      </c>
      <c r="N48" s="17">
        <f t="shared" si="22"/>
        <v>10</v>
      </c>
      <c r="O48" s="18">
        <f t="shared" si="23"/>
        <v>1.5600624024960999E-2</v>
      </c>
    </row>
    <row r="49" spans="1:15" x14ac:dyDescent="0.45">
      <c r="A49" s="13"/>
      <c r="B49" s="22">
        <f t="shared" si="0"/>
        <v>46291.440827328814</v>
      </c>
      <c r="C49" s="23"/>
      <c r="D49" s="1" t="s">
        <v>214</v>
      </c>
      <c r="F49" s="1">
        <v>6.6</v>
      </c>
      <c r="G49" s="1" t="s">
        <v>261</v>
      </c>
      <c r="H49" s="1" t="s">
        <v>261</v>
      </c>
      <c r="I49" s="1" t="s">
        <v>260</v>
      </c>
      <c r="J49" s="1">
        <v>38</v>
      </c>
      <c r="K49" s="14" t="s">
        <v>10</v>
      </c>
      <c r="L49" s="15">
        <f t="shared" si="20"/>
        <v>3.0508527292519827</v>
      </c>
      <c r="M49" s="16">
        <f>SUM($J$6:J49)</f>
        <v>679</v>
      </c>
      <c r="N49" s="17">
        <f t="shared" si="22"/>
        <v>10</v>
      </c>
      <c r="O49" s="18">
        <f t="shared" si="23"/>
        <v>1.4727540500736377E-2</v>
      </c>
    </row>
    <row r="50" spans="1:15" x14ac:dyDescent="0.45">
      <c r="A50" s="13"/>
      <c r="B50" s="22">
        <f t="shared" si="0"/>
        <v>46292.457778238568</v>
      </c>
      <c r="C50" s="23"/>
      <c r="D50" s="1" t="s">
        <v>214</v>
      </c>
      <c r="F50" s="1">
        <v>6.7</v>
      </c>
      <c r="G50" s="1" t="s">
        <v>268</v>
      </c>
      <c r="H50" s="1" t="s">
        <v>257</v>
      </c>
      <c r="I50" s="1" t="s">
        <v>260</v>
      </c>
      <c r="J50" s="1">
        <v>5</v>
      </c>
      <c r="K50" s="14" t="s">
        <v>10</v>
      </c>
      <c r="L50" s="15">
        <f t="shared" ref="L50" si="24">VLOOKUP(G50,LessonDays,3,FALSE)*TargetDays</f>
        <v>1.016950909750661</v>
      </c>
      <c r="M50" s="16">
        <f>SUM($J$6:J50)</f>
        <v>684</v>
      </c>
      <c r="N50" s="17">
        <f t="shared" si="22"/>
        <v>10</v>
      </c>
      <c r="O50" s="18">
        <f t="shared" si="23"/>
        <v>1.4619883040935672E-2</v>
      </c>
    </row>
    <row r="51" spans="1:15" x14ac:dyDescent="0.45">
      <c r="A51" s="13"/>
      <c r="B51" s="22">
        <f t="shared" si="0"/>
        <v>46293.983204603195</v>
      </c>
      <c r="C51" s="23"/>
      <c r="D51" s="1" t="s">
        <v>214</v>
      </c>
      <c r="F51" s="1">
        <v>6.8</v>
      </c>
      <c r="G51" s="1" t="s">
        <v>270</v>
      </c>
      <c r="H51" s="1" t="s">
        <v>258</v>
      </c>
      <c r="I51" s="1" t="s">
        <v>260</v>
      </c>
      <c r="J51" s="1">
        <v>27</v>
      </c>
      <c r="K51" s="14" t="s">
        <v>10</v>
      </c>
      <c r="L51" s="15">
        <f t="shared" si="20"/>
        <v>1.5254263646259913</v>
      </c>
      <c r="M51" s="16">
        <f>SUM($J$6:J51)</f>
        <v>711</v>
      </c>
      <c r="N51" s="17">
        <f t="shared" si="21"/>
        <v>10</v>
      </c>
      <c r="O51" s="18">
        <f t="shared" si="8"/>
        <v>1.4064697609001406E-2</v>
      </c>
    </row>
    <row r="52" spans="1:15" x14ac:dyDescent="0.45">
      <c r="A52" s="13"/>
      <c r="B52" s="22">
        <f t="shared" si="0"/>
        <v>46295.000155512949</v>
      </c>
      <c r="C52" s="23"/>
      <c r="D52" s="1" t="s">
        <v>214</v>
      </c>
      <c r="F52" s="1">
        <v>6.9</v>
      </c>
      <c r="G52" s="1" t="s">
        <v>269</v>
      </c>
      <c r="H52" s="1" t="s">
        <v>259</v>
      </c>
      <c r="I52" s="1" t="s">
        <v>260</v>
      </c>
      <c r="J52" s="1">
        <v>2</v>
      </c>
      <c r="K52" s="14" t="s">
        <v>10</v>
      </c>
      <c r="L52" s="15">
        <f t="shared" ref="L52" si="25">VLOOKUP(G52,LessonDays,3,FALSE)*TargetDays</f>
        <v>1.016950909750661</v>
      </c>
      <c r="M52" s="16">
        <f>SUM($J$6:J52)</f>
        <v>713</v>
      </c>
      <c r="N52" s="17">
        <f t="shared" si="2"/>
        <v>10</v>
      </c>
      <c r="O52" s="18">
        <f t="shared" ref="O52" si="26">N52/M52</f>
        <v>1.4025245441795231E-2</v>
      </c>
    </row>
    <row r="53" spans="1:15" x14ac:dyDescent="0.45">
      <c r="A53" s="13"/>
      <c r="B53" s="30">
        <f t="shared" si="0"/>
        <v>46297.03405733245</v>
      </c>
      <c r="C53" s="31"/>
      <c r="D53" s="32" t="s">
        <v>214</v>
      </c>
      <c r="E53" s="32"/>
      <c r="F53" s="32"/>
      <c r="G53" s="32" t="s">
        <v>250</v>
      </c>
      <c r="H53" s="32"/>
      <c r="I53" s="32"/>
      <c r="J53" s="32"/>
      <c r="K53" s="33" t="s">
        <v>10</v>
      </c>
      <c r="L53" s="34">
        <f t="shared" ref="L53" si="27">VLOOKUP(G53,LessonDays,3,FALSE)*TargetDays</f>
        <v>2.0339018195013221</v>
      </c>
      <c r="M53" s="16">
        <f>SUM($J$6:J53)</f>
        <v>713</v>
      </c>
      <c r="N53" s="17">
        <f t="shared" si="2"/>
        <v>10</v>
      </c>
      <c r="O53" s="18">
        <f t="shared" ref="O53" si="28">N53/M53</f>
        <v>1.4025245441795231E-2</v>
      </c>
    </row>
    <row r="54" spans="1:15" x14ac:dyDescent="0.45">
      <c r="B54" s="22"/>
      <c r="C54" s="22"/>
      <c r="G54"/>
      <c r="H54" s="1"/>
      <c r="K54" s="14"/>
      <c r="L54" s="15"/>
      <c r="M54" s="19"/>
      <c r="N54" s="19"/>
      <c r="O54" s="29"/>
    </row>
    <row r="55" spans="1:15" x14ac:dyDescent="0.45">
      <c r="B55" s="40" t="s">
        <v>46</v>
      </c>
      <c r="C55" s="22"/>
      <c r="D55" s="35" t="s">
        <v>292</v>
      </c>
      <c r="L55" s="15"/>
    </row>
    <row r="56" spans="1:15" x14ac:dyDescent="0.45">
      <c r="B56" s="40"/>
      <c r="C56" s="22"/>
      <c r="D56" s="35" t="s">
        <v>114</v>
      </c>
      <c r="L56" s="15"/>
    </row>
    <row r="57" spans="1:15" x14ac:dyDescent="0.45">
      <c r="B57" s="22"/>
      <c r="C57" s="22"/>
      <c r="D57" s="41" t="s">
        <v>207</v>
      </c>
      <c r="H57" s="1"/>
      <c r="L57" s="15"/>
    </row>
    <row r="58" spans="1:15" x14ac:dyDescent="0.45">
      <c r="B58" s="43"/>
      <c r="C58" s="22"/>
      <c r="D58" s="38"/>
      <c r="H58" s="1"/>
      <c r="L58" s="15"/>
    </row>
    <row r="59" spans="1:15" x14ac:dyDescent="0.45">
      <c r="A59" s="44">
        <f>B90-31</f>
        <v>46314</v>
      </c>
      <c r="B59" s="22">
        <f>info!B4</f>
        <v>46305</v>
      </c>
      <c r="C59" s="22" t="s">
        <v>69</v>
      </c>
      <c r="D59" s="24" t="s">
        <v>70</v>
      </c>
      <c r="H59" s="1"/>
      <c r="L59" s="15"/>
    </row>
    <row r="60" spans="1:15" x14ac:dyDescent="0.45">
      <c r="A60" s="44">
        <f>A59+14</f>
        <v>46328</v>
      </c>
      <c r="B60" s="22">
        <f>B59+14</f>
        <v>46319</v>
      </c>
      <c r="C60" s="22"/>
      <c r="D60" s="25" t="s">
        <v>71</v>
      </c>
      <c r="H60" s="1"/>
      <c r="L60" s="15"/>
    </row>
    <row r="61" spans="1:15" x14ac:dyDescent="0.45">
      <c r="A61" s="44"/>
      <c r="B61" s="22"/>
      <c r="C61" s="22"/>
      <c r="D61" s="26"/>
      <c r="H61" s="1"/>
      <c r="L61" s="15"/>
    </row>
    <row r="62" spans="1:15" x14ac:dyDescent="0.45">
      <c r="A62" s="44">
        <f>A60</f>
        <v>46328</v>
      </c>
      <c r="B62" s="22">
        <f>B90-17</f>
        <v>46328</v>
      </c>
      <c r="C62" s="22" t="s">
        <v>69</v>
      </c>
      <c r="D62" s="24" t="s">
        <v>72</v>
      </c>
      <c r="H62" s="1"/>
      <c r="L62" s="15"/>
    </row>
    <row r="63" spans="1:15" x14ac:dyDescent="0.45">
      <c r="A63" s="44">
        <f>A62+13</f>
        <v>46341</v>
      </c>
      <c r="B63" s="22">
        <f>B62+14</f>
        <v>46342</v>
      </c>
      <c r="C63" s="22"/>
      <c r="D63" s="25" t="s">
        <v>22</v>
      </c>
      <c r="H63" s="1"/>
      <c r="L63" s="15"/>
    </row>
    <row r="64" spans="1:15" x14ac:dyDescent="0.45">
      <c r="A64" s="44"/>
      <c r="B64" s="22"/>
      <c r="C64" s="22"/>
      <c r="D64" s="25" t="s">
        <v>293</v>
      </c>
      <c r="H64" s="1"/>
      <c r="L64" s="15"/>
    </row>
    <row r="65" spans="1:12" x14ac:dyDescent="0.45">
      <c r="A65" s="44"/>
      <c r="B65" s="22"/>
      <c r="C65" s="22"/>
      <c r="D65" s="25" t="s">
        <v>68</v>
      </c>
      <c r="H65" s="1"/>
      <c r="L65" s="15"/>
    </row>
    <row r="66" spans="1:12" x14ac:dyDescent="0.45">
      <c r="A66" s="44"/>
      <c r="B66" s="22"/>
      <c r="C66" s="22"/>
      <c r="D66" s="25" t="s">
        <v>17</v>
      </c>
      <c r="H66" s="1"/>
      <c r="L66" s="15"/>
    </row>
    <row r="67" spans="1:12" x14ac:dyDescent="0.45">
      <c r="A67" s="44"/>
      <c r="B67" s="22"/>
      <c r="C67" s="22"/>
      <c r="D67" s="25" t="s">
        <v>73</v>
      </c>
      <c r="H67" s="1"/>
      <c r="L67" s="15"/>
    </row>
    <row r="68" spans="1:12" x14ac:dyDescent="0.45">
      <c r="A68" s="44"/>
      <c r="B68" s="22"/>
      <c r="C68" s="22"/>
      <c r="D68" s="25"/>
      <c r="H68" s="1"/>
      <c r="L68" s="15"/>
    </row>
    <row r="69" spans="1:12" x14ac:dyDescent="0.45">
      <c r="A69" s="44">
        <f>A62</f>
        <v>46328</v>
      </c>
      <c r="B69" s="22">
        <f>B90-17</f>
        <v>46328</v>
      </c>
      <c r="C69" s="22"/>
      <c r="D69" s="24" t="s">
        <v>138</v>
      </c>
      <c r="H69" s="1"/>
      <c r="L69" s="15"/>
    </row>
    <row r="70" spans="1:12" x14ac:dyDescent="0.45">
      <c r="A70" s="44"/>
      <c r="B70" s="22"/>
      <c r="C70" s="22"/>
      <c r="D70" s="25"/>
      <c r="H70" s="1"/>
      <c r="L70" s="15"/>
    </row>
    <row r="71" spans="1:12" x14ac:dyDescent="0.45">
      <c r="A71" s="44">
        <f>A59</f>
        <v>46314</v>
      </c>
      <c r="B71" s="22">
        <f>info!B4</f>
        <v>46305</v>
      </c>
      <c r="C71" s="22" t="s">
        <v>69</v>
      </c>
      <c r="D71" s="28" t="s">
        <v>24</v>
      </c>
      <c r="H71" s="1"/>
      <c r="L71" s="15"/>
    </row>
    <row r="72" spans="1:12" x14ac:dyDescent="0.45">
      <c r="A72" s="44">
        <f>A71+23</f>
        <v>46337</v>
      </c>
      <c r="B72" s="22">
        <f>B90-8</f>
        <v>46337</v>
      </c>
      <c r="C72" s="22"/>
      <c r="D72" s="25" t="str">
        <f>"Start using these no later than "&amp;TEXT(B71,"mm/d")</f>
        <v>Start using these no later than 10/10</v>
      </c>
      <c r="H72" s="1"/>
      <c r="L72" s="15"/>
    </row>
    <row r="73" spans="1:12" x14ac:dyDescent="0.45">
      <c r="A73" s="44"/>
      <c r="B73" s="22"/>
      <c r="C73" s="22"/>
      <c r="D73" s="27" t="s">
        <v>119</v>
      </c>
      <c r="H73" s="1"/>
      <c r="L73" s="15"/>
    </row>
    <row r="74" spans="1:12" x14ac:dyDescent="0.45">
      <c r="A74" s="44"/>
      <c r="B74" s="22"/>
      <c r="C74" s="22"/>
      <c r="D74" s="27" t="s">
        <v>18</v>
      </c>
      <c r="H74" s="1"/>
      <c r="L74" s="15"/>
    </row>
    <row r="75" spans="1:12" x14ac:dyDescent="0.45">
      <c r="A75" s="44"/>
      <c r="B75" s="22"/>
      <c r="C75" s="22"/>
      <c r="D75" s="27" t="s">
        <v>23</v>
      </c>
      <c r="H75" s="1"/>
      <c r="L75" s="15"/>
    </row>
    <row r="76" spans="1:12" x14ac:dyDescent="0.45">
      <c r="A76" s="44"/>
      <c r="B76" s="22"/>
      <c r="C76" s="22"/>
      <c r="D76" s="26"/>
      <c r="H76" s="1"/>
      <c r="L76" s="15"/>
    </row>
    <row r="77" spans="1:12" x14ac:dyDescent="0.45">
      <c r="A77" s="44">
        <f>A72-2</f>
        <v>46335</v>
      </c>
      <c r="B77" s="22">
        <f>B90-10</f>
        <v>46335</v>
      </c>
      <c r="C77" s="22" t="s">
        <v>69</v>
      </c>
      <c r="D77" s="24" t="s">
        <v>294</v>
      </c>
      <c r="H77" s="1"/>
      <c r="L77" s="15"/>
    </row>
    <row r="78" spans="1:12" x14ac:dyDescent="0.45">
      <c r="A78" s="44">
        <f>A77+7</f>
        <v>46342</v>
      </c>
      <c r="B78" s="22">
        <f>B77+7</f>
        <v>46342</v>
      </c>
      <c r="C78" s="22"/>
      <c r="D78" s="27" t="s">
        <v>78</v>
      </c>
      <c r="H78" s="1"/>
      <c r="L78" s="15"/>
    </row>
    <row r="79" spans="1:12" x14ac:dyDescent="0.45">
      <c r="A79" s="44"/>
      <c r="B79" s="22"/>
      <c r="C79" s="22"/>
      <c r="D79" s="25" t="s">
        <v>74</v>
      </c>
      <c r="H79" s="1"/>
      <c r="L79" s="15"/>
    </row>
    <row r="80" spans="1:12" x14ac:dyDescent="0.45">
      <c r="A80" s="44"/>
      <c r="B80" s="22"/>
      <c r="C80" s="22"/>
      <c r="D80" s="25" t="s">
        <v>208</v>
      </c>
      <c r="H80" s="1"/>
      <c r="L80" s="15"/>
    </row>
    <row r="81" spans="1:12" x14ac:dyDescent="0.45">
      <c r="A81" s="44"/>
      <c r="B81" s="22"/>
      <c r="C81" s="22"/>
      <c r="D81" s="25" t="s">
        <v>205</v>
      </c>
      <c r="H81" s="1"/>
      <c r="L81" s="15"/>
    </row>
    <row r="82" spans="1:12" x14ac:dyDescent="0.45">
      <c r="A82" s="44"/>
      <c r="B82" s="22"/>
      <c r="C82" s="22"/>
      <c r="D82" s="25" t="s">
        <v>206</v>
      </c>
      <c r="H82" s="1"/>
      <c r="L82" s="15"/>
    </row>
    <row r="83" spans="1:12" x14ac:dyDescent="0.45">
      <c r="A83" s="44"/>
      <c r="B83" s="22"/>
      <c r="C83" s="22"/>
      <c r="D83" s="27"/>
      <c r="H83" s="1"/>
      <c r="L83" s="15"/>
    </row>
    <row r="84" spans="1:12" x14ac:dyDescent="0.45">
      <c r="A84" s="44">
        <f>A72</f>
        <v>46337</v>
      </c>
      <c r="B84" s="22">
        <f>B90-8</f>
        <v>46337</v>
      </c>
      <c r="C84" s="22" t="s">
        <v>69</v>
      </c>
      <c r="D84" s="24" t="s">
        <v>75</v>
      </c>
      <c r="H84" s="1"/>
      <c r="L84" s="15"/>
    </row>
    <row r="85" spans="1:12" x14ac:dyDescent="0.45">
      <c r="A85" s="44">
        <f>A84+7</f>
        <v>46344</v>
      </c>
      <c r="B85" s="22">
        <f>B84+7</f>
        <v>46344</v>
      </c>
      <c r="C85" s="22"/>
      <c r="D85" s="27" t="s">
        <v>76</v>
      </c>
      <c r="H85" s="1"/>
      <c r="L85" s="15"/>
    </row>
    <row r="86" spans="1:12" x14ac:dyDescent="0.45">
      <c r="A86" s="22"/>
      <c r="B86" s="22"/>
      <c r="C86" s="22"/>
      <c r="D86" s="27" t="s">
        <v>79</v>
      </c>
      <c r="H86" s="1"/>
      <c r="L86" s="15"/>
    </row>
    <row r="87" spans="1:12" x14ac:dyDescent="0.45">
      <c r="A87" s="22"/>
      <c r="B87" s="22"/>
      <c r="C87" s="22"/>
      <c r="D87" s="27" t="s">
        <v>80</v>
      </c>
      <c r="H87" s="1"/>
      <c r="L87" s="15"/>
    </row>
    <row r="88" spans="1:12" x14ac:dyDescent="0.45">
      <c r="A88" s="22"/>
      <c r="B88" s="22"/>
      <c r="C88" s="22"/>
      <c r="D88" s="25" t="s">
        <v>77</v>
      </c>
      <c r="H88" s="1"/>
      <c r="L88" s="15"/>
    </row>
    <row r="89" spans="1:12" x14ac:dyDescent="0.45">
      <c r="A89" s="22"/>
      <c r="B89" s="22"/>
      <c r="C89" s="22"/>
      <c r="D89" s="27"/>
      <c r="H89" s="1"/>
      <c r="L89" s="15"/>
    </row>
    <row r="90" spans="1:12" x14ac:dyDescent="0.45">
      <c r="A90" s="42"/>
      <c r="B90" s="42">
        <v>46345</v>
      </c>
      <c r="C90" s="37"/>
      <c r="D90" s="35" t="s">
        <v>66</v>
      </c>
      <c r="H90" s="1"/>
      <c r="L90" s="15"/>
    </row>
    <row r="91" spans="1:12" x14ac:dyDescent="0.45">
      <c r="A91" s="22"/>
      <c r="B91" s="22"/>
      <c r="C91" s="22"/>
      <c r="D91" s="26"/>
      <c r="H91" s="1"/>
      <c r="L91" s="15"/>
    </row>
    <row r="92" spans="1:12" x14ac:dyDescent="0.45">
      <c r="A92" s="22"/>
      <c r="B92" s="49" t="s">
        <v>289</v>
      </c>
      <c r="C92" s="22"/>
      <c r="D92" s="24" t="s">
        <v>65</v>
      </c>
      <c r="H92" s="1"/>
      <c r="L92" s="15"/>
    </row>
    <row r="93" spans="1:12" x14ac:dyDescent="0.45">
      <c r="H93" s="1"/>
      <c r="L93" s="15"/>
    </row>
    <row r="94" spans="1:12" x14ac:dyDescent="0.45">
      <c r="L94" s="15"/>
    </row>
  </sheetData>
  <mergeCells count="1">
    <mergeCell ref="I1:J1"/>
  </mergeCells>
  <phoneticPr fontId="17" type="noConversion"/>
  <dataValidations count="1">
    <dataValidation type="list" allowBlank="1" showInputMessage="1" showErrorMessage="1" sqref="K6:K54" xr:uid="{00000000-0002-0000-0100-000000000000}">
      <formula1>"No,Yes"</formula1>
    </dataValidation>
  </dataValidations>
  <hyperlinks>
    <hyperlink ref="D57" r:id="rId1" xr:uid="{00000000-0004-0000-0100-000000000000}"/>
  </hyperlinks>
  <pageMargins left="0.7" right="0.7" top="0.75" bottom="0.75" header="0.3" footer="0.3"/>
  <pageSetup scale="64" fitToHeight="0" orientation="landscape" r:id="rId2"/>
  <headerFooter>
    <oddHeader>&amp;L&amp;"Calibri,Regular"&amp;K000000TIA Suggested Study Schedule - CP 321 Fall 2026&amp;R&amp;"Calibri,Regular"&amp;K000000www.theinfiniteactuary.com</oddHeader>
    <oddFooter>&amp;L&amp;"Calibri,Regular"&amp;K000000© 2026 The Infinite Actuary, LLC&amp;R&amp;"Calibri,Regular"&amp;K000000Page &amp;P of &amp;N</oddFooter>
  </headerFooter>
  <rowBreaks count="1" manualBreakCount="1">
    <brk id="53" max="11" man="1"/>
  </rowBreaks>
  <ignoredErrors>
    <ignoredError sqref="A83:A90 A59:A79" unlockedFormula="1"/>
  </ignoredErrors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8"/>
  <sheetViews>
    <sheetView showGridLines="0" zoomScale="70" zoomScaleNormal="70" zoomScalePageLayoutView="80" workbookViewId="0"/>
  </sheetViews>
  <sheetFormatPr defaultColWidth="8.796875" defaultRowHeight="14.25" x14ac:dyDescent="0.45"/>
  <sheetData>
    <row r="58" spans="2:2" x14ac:dyDescent="0.45">
      <c r="B58" t="s">
        <v>48</v>
      </c>
    </row>
  </sheetData>
  <pageMargins left="0.7" right="0.7" top="0.75" bottom="0.75" header="0.3" footer="0.3"/>
  <pageSetup scale="51" orientation="landscape" r:id="rId1"/>
  <headerFooter>
    <oddHeader>&amp;L&amp;"Calibri,Regular"&amp;K000000TIA Suggested Study Schedule - CP 321 Fall 2026&amp;R&amp;"Calibri,Regular"&amp;K000000www.theinfiniteactuary.com</oddHeader>
    <oddFooter>&amp;L&amp;"Calibri,Regular"&amp;K000000© 2026 The Infinite Actuary, LLC&amp;R&amp;"Calibri,Regular"&amp;K000000Page &amp;P of 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  <pageSetUpPr fitToPage="1"/>
  </sheetPr>
  <dimension ref="A1:O141"/>
  <sheetViews>
    <sheetView showGridLines="0" zoomScale="90" zoomScaleNormal="90" zoomScalePageLayoutView="125" workbookViewId="0">
      <pane xSplit="3" ySplit="5" topLeftCell="D80" activePane="bottomRight" state="frozen"/>
      <selection activeCell="L107" sqref="L107"/>
      <selection pane="topRight" activeCell="L107" sqref="L107"/>
      <selection pane="bottomLeft" activeCell="L107" sqref="L107"/>
      <selection pane="bottomRight" activeCell="L107" sqref="L107"/>
    </sheetView>
  </sheetViews>
  <sheetFormatPr defaultColWidth="8.796875" defaultRowHeight="14.25" x14ac:dyDescent="0.45"/>
  <cols>
    <col min="1" max="1" width="3.46484375" style="1" customWidth="1"/>
    <col min="2" max="3" width="11.46484375" style="1" customWidth="1"/>
    <col min="4" max="4" width="20.19921875" style="1" customWidth="1"/>
    <col min="5" max="5" width="18.73046875" style="1" customWidth="1"/>
    <col min="6" max="6" width="9.73046875" style="1" customWidth="1"/>
    <col min="7" max="7" width="53.73046875" style="1" bestFit="1" customWidth="1"/>
    <col min="8" max="8" width="17.19921875" style="6" customWidth="1"/>
    <col min="9" max="9" width="12.796875" style="1" customWidth="1"/>
    <col min="10" max="10" width="8.796875" style="1"/>
    <col min="11" max="11" width="14.46484375" style="1" customWidth="1"/>
    <col min="12" max="15" width="8.73046875" style="1" bestFit="1" customWidth="1"/>
    <col min="16" max="16384" width="8.796875" style="1"/>
  </cols>
  <sheetData>
    <row r="1" spans="1:15" ht="23.25" customHeight="1" x14ac:dyDescent="0.7">
      <c r="D1" s="2">
        <v>44920</v>
      </c>
      <c r="H1" s="3"/>
      <c r="I1" s="50" t="s">
        <v>1</v>
      </c>
      <c r="J1" s="51"/>
      <c r="K1" s="4">
        <f>K3/K2</f>
        <v>0</v>
      </c>
    </row>
    <row r="2" spans="1:15" x14ac:dyDescent="0.45">
      <c r="H2" s="3"/>
      <c r="I2" s="1" t="s">
        <v>2</v>
      </c>
      <c r="K2" s="5">
        <f>SUM(J6:J102)</f>
        <v>1298</v>
      </c>
    </row>
    <row r="3" spans="1:15" x14ac:dyDescent="0.45">
      <c r="H3" s="3"/>
      <c r="I3" s="1" t="s">
        <v>3</v>
      </c>
      <c r="K3" s="1">
        <f>SUMIF(K6:K102,"Yes",J6:J102)</f>
        <v>0</v>
      </c>
    </row>
    <row r="4" spans="1:15" ht="7.5" customHeight="1" x14ac:dyDescent="0.45"/>
    <row r="5" spans="1:15" ht="28.5" x14ac:dyDescent="0.45">
      <c r="A5" s="7"/>
      <c r="B5" s="8" t="s">
        <v>19</v>
      </c>
      <c r="C5" s="9" t="s">
        <v>4</v>
      </c>
      <c r="D5" s="8" t="s">
        <v>14</v>
      </c>
      <c r="E5" s="8" t="s">
        <v>15</v>
      </c>
      <c r="F5" s="8" t="s">
        <v>13</v>
      </c>
      <c r="G5" s="8" t="s">
        <v>12</v>
      </c>
      <c r="H5" s="8" t="s">
        <v>11</v>
      </c>
      <c r="I5" s="8" t="s">
        <v>16</v>
      </c>
      <c r="J5" s="8" t="s">
        <v>0</v>
      </c>
      <c r="K5" s="8" t="s">
        <v>5</v>
      </c>
      <c r="L5" s="8" t="s">
        <v>6</v>
      </c>
      <c r="M5" s="10" t="s">
        <v>7</v>
      </c>
      <c r="N5" s="11" t="s">
        <v>8</v>
      </c>
      <c r="O5" s="12" t="s">
        <v>9</v>
      </c>
    </row>
    <row r="6" spans="1:15" x14ac:dyDescent="0.45">
      <c r="A6" s="13"/>
      <c r="B6" s="30">
        <f>D1+L6</f>
        <v>44920.5</v>
      </c>
      <c r="C6" s="31"/>
      <c r="D6" s="36" t="s">
        <v>20</v>
      </c>
      <c r="E6" s="32"/>
      <c r="F6" s="32"/>
      <c r="G6" s="36" t="s">
        <v>21</v>
      </c>
      <c r="H6" s="32"/>
      <c r="I6" s="32"/>
      <c r="J6" s="32"/>
      <c r="K6" s="33" t="s">
        <v>10</v>
      </c>
      <c r="L6" s="34">
        <f>ROUND(VLOOKUP(G6,LessonDaysDouble,3,FALSE)*TargetDays/0.25,0)*0.25</f>
        <v>0.5</v>
      </c>
      <c r="M6" s="16"/>
      <c r="N6" s="17"/>
      <c r="O6" s="18"/>
    </row>
    <row r="7" spans="1:15" x14ac:dyDescent="0.45">
      <c r="A7" s="13"/>
      <c r="B7" s="22" t="e">
        <f t="shared" ref="B7:B70" si="0">B6+L7</f>
        <v>#N/A</v>
      </c>
      <c r="C7" s="23"/>
      <c r="D7" s="1" t="s">
        <v>173</v>
      </c>
      <c r="F7" s="1">
        <v>1.1000000000000001</v>
      </c>
      <c r="G7" s="1" t="s">
        <v>141</v>
      </c>
      <c r="H7" s="1" t="s">
        <v>175</v>
      </c>
      <c r="I7" s="1" t="s">
        <v>174</v>
      </c>
      <c r="J7" s="1">
        <v>10</v>
      </c>
      <c r="K7" s="14" t="s">
        <v>10</v>
      </c>
      <c r="L7" s="15" t="e">
        <f t="shared" ref="L7:L16" si="1">VLOOKUP(G7,LessonDaysDouble,3,FALSE)*TargetDays</f>
        <v>#N/A</v>
      </c>
      <c r="M7" s="16">
        <f>SUM($J$6:J7)</f>
        <v>10</v>
      </c>
      <c r="N7" s="17">
        <f t="shared" ref="N7:N16" si="2">SUMIFS(PgCnt,CompFlag,"Yes",ActFDate,"&lt;="&amp;B7)</f>
        <v>0</v>
      </c>
      <c r="O7" s="18">
        <f t="shared" ref="O7:O16" si="3">N7/M7</f>
        <v>0</v>
      </c>
    </row>
    <row r="8" spans="1:15" x14ac:dyDescent="0.45">
      <c r="A8" s="13"/>
      <c r="B8" s="22" t="e">
        <f t="shared" si="0"/>
        <v>#N/A</v>
      </c>
      <c r="C8" s="23"/>
      <c r="D8" s="1" t="s">
        <v>173</v>
      </c>
      <c r="F8" s="1">
        <v>1.2</v>
      </c>
      <c r="G8" s="1" t="s">
        <v>142</v>
      </c>
      <c r="H8" s="1" t="s">
        <v>176</v>
      </c>
      <c r="I8" s="1" t="s">
        <v>174</v>
      </c>
      <c r="J8" s="1">
        <v>24</v>
      </c>
      <c r="K8" s="14" t="s">
        <v>10</v>
      </c>
      <c r="L8" s="15" t="e">
        <f t="shared" si="1"/>
        <v>#N/A</v>
      </c>
      <c r="M8" s="16">
        <f>SUM($J$6:J8)</f>
        <v>34</v>
      </c>
      <c r="N8" s="17">
        <f t="shared" si="2"/>
        <v>0</v>
      </c>
      <c r="O8" s="18">
        <f t="shared" si="3"/>
        <v>0</v>
      </c>
    </row>
    <row r="9" spans="1:15" x14ac:dyDescent="0.45">
      <c r="A9" s="13"/>
      <c r="B9" s="22" t="e">
        <f t="shared" si="0"/>
        <v>#N/A</v>
      </c>
      <c r="C9" s="23"/>
      <c r="D9" s="1" t="s">
        <v>173</v>
      </c>
      <c r="F9" s="1">
        <v>1.3</v>
      </c>
      <c r="G9" s="1" t="s">
        <v>143</v>
      </c>
      <c r="H9" s="1" t="s">
        <v>177</v>
      </c>
      <c r="I9" s="1" t="s">
        <v>174</v>
      </c>
      <c r="J9" s="1">
        <v>6</v>
      </c>
      <c r="K9" s="14" t="s">
        <v>10</v>
      </c>
      <c r="L9" s="15" t="e">
        <f t="shared" si="1"/>
        <v>#N/A</v>
      </c>
      <c r="M9" s="16">
        <f>SUM($J$6:J9)</f>
        <v>40</v>
      </c>
      <c r="N9" s="17">
        <f t="shared" si="2"/>
        <v>0</v>
      </c>
      <c r="O9" s="18">
        <f t="shared" si="3"/>
        <v>0</v>
      </c>
    </row>
    <row r="10" spans="1:15" x14ac:dyDescent="0.45">
      <c r="A10" s="13"/>
      <c r="B10" s="22" t="e">
        <f t="shared" si="0"/>
        <v>#N/A</v>
      </c>
      <c r="C10" s="23"/>
      <c r="D10" s="1" t="s">
        <v>173</v>
      </c>
      <c r="F10" s="1">
        <v>1.4</v>
      </c>
      <c r="G10" s="1" t="s">
        <v>144</v>
      </c>
      <c r="H10" s="1" t="s">
        <v>178</v>
      </c>
      <c r="I10" s="1" t="s">
        <v>174</v>
      </c>
      <c r="J10" s="1">
        <v>36</v>
      </c>
      <c r="K10" s="14" t="s">
        <v>10</v>
      </c>
      <c r="L10" s="15" t="e">
        <f t="shared" si="1"/>
        <v>#N/A</v>
      </c>
      <c r="M10" s="16">
        <f>SUM($J$6:J10)</f>
        <v>76</v>
      </c>
      <c r="N10" s="17">
        <f t="shared" si="2"/>
        <v>0</v>
      </c>
      <c r="O10" s="18">
        <f t="shared" si="3"/>
        <v>0</v>
      </c>
    </row>
    <row r="11" spans="1:15" x14ac:dyDescent="0.45">
      <c r="A11" s="13"/>
      <c r="B11" s="22" t="e">
        <f t="shared" si="0"/>
        <v>#N/A</v>
      </c>
      <c r="C11" s="23"/>
      <c r="D11" s="1" t="s">
        <v>173</v>
      </c>
      <c r="F11" s="1">
        <v>1.5</v>
      </c>
      <c r="G11" s="1" t="s">
        <v>145</v>
      </c>
      <c r="H11" s="1" t="s">
        <v>179</v>
      </c>
      <c r="I11" s="1" t="s">
        <v>174</v>
      </c>
      <c r="J11" s="1">
        <v>24</v>
      </c>
      <c r="K11" s="14" t="s">
        <v>10</v>
      </c>
      <c r="L11" s="15" t="e">
        <f t="shared" ref="L11:L13" si="4">VLOOKUP(G11,LessonDaysDouble,3,FALSE)*TargetDays</f>
        <v>#N/A</v>
      </c>
      <c r="M11" s="16">
        <f>SUM($J$6:J11)</f>
        <v>100</v>
      </c>
      <c r="N11" s="17">
        <f t="shared" ref="N11:N13" si="5">SUMIFS(PgCnt,CompFlag,"Yes",ActFDate,"&lt;="&amp;B11)</f>
        <v>0</v>
      </c>
      <c r="O11" s="18">
        <f t="shared" ref="O11:O13" si="6">N11/M11</f>
        <v>0</v>
      </c>
    </row>
    <row r="12" spans="1:15" x14ac:dyDescent="0.45">
      <c r="A12" s="13"/>
      <c r="B12" s="22" t="e">
        <f t="shared" si="0"/>
        <v>#N/A</v>
      </c>
      <c r="C12" s="23"/>
      <c r="D12" s="1" t="s">
        <v>173</v>
      </c>
      <c r="F12" s="1">
        <v>1.6</v>
      </c>
      <c r="G12" s="1" t="s">
        <v>146</v>
      </c>
      <c r="H12" s="1" t="s">
        <v>180</v>
      </c>
      <c r="I12" s="1" t="s">
        <v>174</v>
      </c>
      <c r="J12" s="1">
        <v>6</v>
      </c>
      <c r="K12" s="14" t="s">
        <v>10</v>
      </c>
      <c r="L12" s="15" t="e">
        <f t="shared" si="4"/>
        <v>#N/A</v>
      </c>
      <c r="M12" s="16">
        <f>SUM($J$6:J12)</f>
        <v>106</v>
      </c>
      <c r="N12" s="17">
        <f t="shared" si="5"/>
        <v>0</v>
      </c>
      <c r="O12" s="18">
        <f t="shared" si="6"/>
        <v>0</v>
      </c>
    </row>
    <row r="13" spans="1:15" x14ac:dyDescent="0.45">
      <c r="A13" s="13"/>
      <c r="B13" s="22" t="e">
        <f t="shared" si="0"/>
        <v>#N/A</v>
      </c>
      <c r="C13" s="23"/>
      <c r="D13" s="1" t="s">
        <v>173</v>
      </c>
      <c r="F13" s="1">
        <v>1.7</v>
      </c>
      <c r="G13" s="1" t="s">
        <v>149</v>
      </c>
      <c r="H13" s="1" t="s">
        <v>181</v>
      </c>
      <c r="I13" s="1" t="s">
        <v>174</v>
      </c>
      <c r="J13" s="1">
        <v>19</v>
      </c>
      <c r="K13" s="14" t="s">
        <v>10</v>
      </c>
      <c r="L13" s="15" t="e">
        <f t="shared" si="4"/>
        <v>#N/A</v>
      </c>
      <c r="M13" s="16">
        <f>SUM($J$6:J13)</f>
        <v>125</v>
      </c>
      <c r="N13" s="17">
        <f t="shared" si="5"/>
        <v>0</v>
      </c>
      <c r="O13" s="18">
        <f t="shared" si="6"/>
        <v>0</v>
      </c>
    </row>
    <row r="14" spans="1:15" x14ac:dyDescent="0.45">
      <c r="A14" s="13"/>
      <c r="B14" s="22" t="e">
        <f t="shared" si="0"/>
        <v>#N/A</v>
      </c>
      <c r="C14" s="23"/>
      <c r="D14" s="1" t="s">
        <v>173</v>
      </c>
      <c r="F14" s="1">
        <v>1.8</v>
      </c>
      <c r="G14" s="1" t="s">
        <v>152</v>
      </c>
      <c r="H14" s="1" t="s">
        <v>152</v>
      </c>
      <c r="I14" s="1" t="s">
        <v>174</v>
      </c>
      <c r="J14" s="1">
        <v>11</v>
      </c>
      <c r="K14" s="14" t="s">
        <v>10</v>
      </c>
      <c r="L14" s="15" t="e">
        <f t="shared" si="1"/>
        <v>#N/A</v>
      </c>
      <c r="M14" s="16">
        <f>SUM($J$6:J14)</f>
        <v>136</v>
      </c>
      <c r="N14" s="17">
        <f t="shared" si="2"/>
        <v>0</v>
      </c>
      <c r="O14" s="18">
        <f t="shared" si="3"/>
        <v>0</v>
      </c>
    </row>
    <row r="15" spans="1:15" x14ac:dyDescent="0.45">
      <c r="A15" s="13"/>
      <c r="B15" s="22" t="e">
        <f t="shared" si="0"/>
        <v>#N/A</v>
      </c>
      <c r="C15" s="23"/>
      <c r="D15" s="1" t="s">
        <v>173</v>
      </c>
      <c r="F15" s="1">
        <v>1.9</v>
      </c>
      <c r="G15" s="1" t="s">
        <v>147</v>
      </c>
      <c r="H15" s="1" t="s">
        <v>182</v>
      </c>
      <c r="I15" s="1" t="s">
        <v>174</v>
      </c>
      <c r="J15" s="1">
        <v>5</v>
      </c>
      <c r="K15" s="14" t="s">
        <v>10</v>
      </c>
      <c r="L15" s="15" t="e">
        <f t="shared" si="1"/>
        <v>#N/A</v>
      </c>
      <c r="M15" s="16">
        <f>SUM($J$6:J15)</f>
        <v>141</v>
      </c>
      <c r="N15" s="17">
        <f t="shared" si="2"/>
        <v>0</v>
      </c>
      <c r="O15" s="18">
        <f t="shared" si="3"/>
        <v>0</v>
      </c>
    </row>
    <row r="16" spans="1:15" x14ac:dyDescent="0.45">
      <c r="A16" s="13"/>
      <c r="B16" s="22" t="e">
        <f t="shared" si="0"/>
        <v>#N/A</v>
      </c>
      <c r="C16" s="23"/>
      <c r="D16" s="1" t="s">
        <v>173</v>
      </c>
      <c r="F16" s="15">
        <v>1.1000000000000001</v>
      </c>
      <c r="G16" s="1" t="s">
        <v>150</v>
      </c>
      <c r="H16" s="1" t="s">
        <v>183</v>
      </c>
      <c r="I16" s="1" t="s">
        <v>174</v>
      </c>
      <c r="J16" s="1">
        <v>19</v>
      </c>
      <c r="K16" s="14" t="s">
        <v>10</v>
      </c>
      <c r="L16" s="15" t="e">
        <f t="shared" si="1"/>
        <v>#N/A</v>
      </c>
      <c r="M16" s="16">
        <f>SUM($J$6:J16)</f>
        <v>160</v>
      </c>
      <c r="N16" s="17">
        <f t="shared" si="2"/>
        <v>0</v>
      </c>
      <c r="O16" s="18">
        <f t="shared" si="3"/>
        <v>0</v>
      </c>
    </row>
    <row r="17" spans="1:15" x14ac:dyDescent="0.45">
      <c r="A17" s="13"/>
      <c r="B17" s="22" t="e">
        <f t="shared" si="0"/>
        <v>#N/A</v>
      </c>
      <c r="C17" s="23"/>
      <c r="D17" s="1" t="s">
        <v>173</v>
      </c>
      <c r="F17" s="1">
        <v>1.1100000000000001</v>
      </c>
      <c r="G17" s="1" t="s">
        <v>151</v>
      </c>
      <c r="H17" s="1" t="s">
        <v>184</v>
      </c>
      <c r="I17" s="1" t="s">
        <v>174</v>
      </c>
      <c r="J17" s="1">
        <v>11</v>
      </c>
      <c r="K17" s="14" t="s">
        <v>10</v>
      </c>
      <c r="L17" s="15" t="e">
        <f t="shared" ref="L17:L18" si="7">VLOOKUP(G17,LessonDaysDouble,3,FALSE)*TargetDays</f>
        <v>#N/A</v>
      </c>
      <c r="M17" s="16">
        <f>SUM($J$6:J17)</f>
        <v>171</v>
      </c>
      <c r="N17" s="17">
        <f t="shared" ref="N17:N18" si="8">SUMIFS(PgCnt,CompFlag,"Yes",ActFDate,"&lt;="&amp;B17)</f>
        <v>0</v>
      </c>
      <c r="O17" s="18">
        <f t="shared" ref="O17:O18" si="9">N17/M17</f>
        <v>0</v>
      </c>
    </row>
    <row r="18" spans="1:15" x14ac:dyDescent="0.45">
      <c r="A18" s="13"/>
      <c r="B18" s="22" t="e">
        <f t="shared" si="0"/>
        <v>#N/A</v>
      </c>
      <c r="C18" s="23"/>
      <c r="D18" s="1" t="s">
        <v>173</v>
      </c>
      <c r="F18" s="1">
        <v>1.1200000000000001</v>
      </c>
      <c r="G18" s="1" t="s">
        <v>148</v>
      </c>
      <c r="H18" s="1" t="s">
        <v>185</v>
      </c>
      <c r="I18" s="1" t="s">
        <v>174</v>
      </c>
      <c r="J18" s="1">
        <v>7</v>
      </c>
      <c r="K18" s="14" t="s">
        <v>10</v>
      </c>
      <c r="L18" s="15" t="e">
        <f t="shared" si="7"/>
        <v>#N/A</v>
      </c>
      <c r="M18" s="16">
        <f>SUM($J$6:J18)</f>
        <v>178</v>
      </c>
      <c r="N18" s="17">
        <f t="shared" si="8"/>
        <v>0</v>
      </c>
      <c r="O18" s="18">
        <f t="shared" si="9"/>
        <v>0</v>
      </c>
    </row>
    <row r="19" spans="1:15" x14ac:dyDescent="0.45">
      <c r="A19" s="13"/>
      <c r="B19" s="30" t="e">
        <f t="shared" si="0"/>
        <v>#N/A</v>
      </c>
      <c r="C19" s="31"/>
      <c r="D19" s="32" t="s">
        <v>173</v>
      </c>
      <c r="E19" s="32"/>
      <c r="F19" s="32"/>
      <c r="G19" s="32" t="s">
        <v>59</v>
      </c>
      <c r="H19" s="32"/>
      <c r="I19" s="32"/>
      <c r="J19" s="32"/>
      <c r="K19" s="33" t="s">
        <v>10</v>
      </c>
      <c r="L19" s="34">
        <f t="shared" ref="L19:L42" si="10">VLOOKUP(G19,LessonDaysDouble,3,FALSE)*TargetDays</f>
        <v>1.0012248647545168</v>
      </c>
      <c r="M19" s="16">
        <f>SUM($J$6:J19)</f>
        <v>178</v>
      </c>
      <c r="N19" s="17">
        <f t="shared" ref="N19:N42" si="11">SUMIFS(PgCnt,CompFlag,"Yes",ActFDate,"&lt;="&amp;B19)</f>
        <v>0</v>
      </c>
      <c r="O19" s="18">
        <f t="shared" ref="O19:O54" si="12">N19/M19</f>
        <v>0</v>
      </c>
    </row>
    <row r="20" spans="1:15" x14ac:dyDescent="0.45">
      <c r="A20" s="13"/>
      <c r="B20" s="22" t="e">
        <f t="shared" si="0"/>
        <v>#N/A</v>
      </c>
      <c r="C20" s="23"/>
      <c r="D20" s="1" t="s">
        <v>186</v>
      </c>
      <c r="F20" s="1">
        <v>2.1</v>
      </c>
      <c r="G20" s="1" t="s">
        <v>156</v>
      </c>
      <c r="H20" s="1" t="s">
        <v>189</v>
      </c>
      <c r="I20" s="1" t="s">
        <v>187</v>
      </c>
      <c r="J20" s="1">
        <v>7</v>
      </c>
      <c r="K20" s="14" t="s">
        <v>10</v>
      </c>
      <c r="L20" s="15" t="e">
        <f t="shared" ref="L20:L25" si="13">VLOOKUP(G20,LessonDaysDouble,3,FALSE)*TargetDays</f>
        <v>#N/A</v>
      </c>
      <c r="M20" s="16">
        <f>SUM($J$6:J20)</f>
        <v>185</v>
      </c>
      <c r="N20" s="17">
        <f t="shared" ref="N20:N25" si="14">SUMIFS(PgCnt,CompFlag,"Yes",ActFDate,"&lt;="&amp;B20)</f>
        <v>0</v>
      </c>
      <c r="O20" s="18">
        <f t="shared" ref="O20:O25" si="15">N20/M20</f>
        <v>0</v>
      </c>
    </row>
    <row r="21" spans="1:15" x14ac:dyDescent="0.45">
      <c r="A21" s="13"/>
      <c r="B21" s="22" t="e">
        <f t="shared" si="0"/>
        <v>#N/A</v>
      </c>
      <c r="C21" s="23"/>
      <c r="D21" s="1" t="s">
        <v>186</v>
      </c>
      <c r="F21" s="1">
        <v>2.2000000000000002</v>
      </c>
      <c r="G21" s="1" t="s">
        <v>158</v>
      </c>
      <c r="H21" s="1" t="s">
        <v>190</v>
      </c>
      <c r="I21" s="1" t="s">
        <v>187</v>
      </c>
      <c r="J21" s="1">
        <v>14</v>
      </c>
      <c r="K21" s="14" t="s">
        <v>10</v>
      </c>
      <c r="L21" s="15" t="e">
        <f t="shared" si="13"/>
        <v>#N/A</v>
      </c>
      <c r="M21" s="16">
        <f>SUM($J$6:J21)</f>
        <v>199</v>
      </c>
      <c r="N21" s="17">
        <f t="shared" si="14"/>
        <v>0</v>
      </c>
      <c r="O21" s="18">
        <f t="shared" si="15"/>
        <v>0</v>
      </c>
    </row>
    <row r="22" spans="1:15" x14ac:dyDescent="0.45">
      <c r="A22" s="13"/>
      <c r="B22" s="22" t="e">
        <f t="shared" si="0"/>
        <v>#N/A</v>
      </c>
      <c r="C22" s="23"/>
      <c r="D22" s="1" t="s">
        <v>186</v>
      </c>
      <c r="F22" s="1">
        <v>2.2999999999999998</v>
      </c>
      <c r="G22" s="1" t="s">
        <v>157</v>
      </c>
      <c r="H22" s="1" t="s">
        <v>191</v>
      </c>
      <c r="I22" s="1" t="s">
        <v>187</v>
      </c>
      <c r="J22" s="1">
        <v>7</v>
      </c>
      <c r="K22" s="14" t="s">
        <v>10</v>
      </c>
      <c r="L22" s="15" t="e">
        <f t="shared" si="13"/>
        <v>#N/A</v>
      </c>
      <c r="M22" s="16">
        <f>SUM($J$6:J22)</f>
        <v>206</v>
      </c>
      <c r="N22" s="17">
        <f t="shared" si="14"/>
        <v>0</v>
      </c>
      <c r="O22" s="18">
        <f t="shared" si="15"/>
        <v>0</v>
      </c>
    </row>
    <row r="23" spans="1:15" x14ac:dyDescent="0.45">
      <c r="A23" s="13"/>
      <c r="B23" s="22" t="e">
        <f t="shared" si="0"/>
        <v>#N/A</v>
      </c>
      <c r="C23" s="23"/>
      <c r="D23" s="1" t="s">
        <v>186</v>
      </c>
      <c r="F23" s="1">
        <v>2.4</v>
      </c>
      <c r="G23" s="1" t="s">
        <v>163</v>
      </c>
      <c r="H23" s="1" t="s">
        <v>188</v>
      </c>
      <c r="I23" s="1" t="s">
        <v>187</v>
      </c>
      <c r="J23" s="1">
        <v>20</v>
      </c>
      <c r="K23" s="14" t="s">
        <v>10</v>
      </c>
      <c r="L23" s="15" t="e">
        <f t="shared" si="13"/>
        <v>#N/A</v>
      </c>
      <c r="M23" s="16">
        <f>SUM($J$6:J23)</f>
        <v>226</v>
      </c>
      <c r="N23" s="17">
        <f t="shared" si="14"/>
        <v>0</v>
      </c>
      <c r="O23" s="18">
        <f t="shared" si="15"/>
        <v>0</v>
      </c>
    </row>
    <row r="24" spans="1:15" x14ac:dyDescent="0.45">
      <c r="A24" s="13"/>
      <c r="B24" s="22" t="e">
        <f t="shared" si="0"/>
        <v>#N/A</v>
      </c>
      <c r="C24" s="23"/>
      <c r="D24" s="1" t="s">
        <v>186</v>
      </c>
      <c r="F24" s="1">
        <v>2.5</v>
      </c>
      <c r="G24" s="1" t="s">
        <v>153</v>
      </c>
      <c r="H24" s="1" t="s">
        <v>153</v>
      </c>
      <c r="I24" s="1" t="s">
        <v>187</v>
      </c>
      <c r="J24" s="1">
        <v>4</v>
      </c>
      <c r="K24" s="14" t="s">
        <v>10</v>
      </c>
      <c r="L24" s="15" t="e">
        <f t="shared" si="13"/>
        <v>#N/A</v>
      </c>
      <c r="M24" s="16">
        <f>SUM($J$6:J24)</f>
        <v>230</v>
      </c>
      <c r="N24" s="17">
        <f t="shared" si="14"/>
        <v>0</v>
      </c>
      <c r="O24" s="18">
        <f t="shared" si="15"/>
        <v>0</v>
      </c>
    </row>
    <row r="25" spans="1:15" x14ac:dyDescent="0.45">
      <c r="A25" s="13"/>
      <c r="B25" s="22" t="e">
        <f t="shared" si="0"/>
        <v>#N/A</v>
      </c>
      <c r="C25" s="23"/>
      <c r="D25" s="1" t="s">
        <v>186</v>
      </c>
      <c r="F25" s="1">
        <v>2.6</v>
      </c>
      <c r="G25" s="1" t="s">
        <v>154</v>
      </c>
      <c r="H25" s="1" t="s">
        <v>154</v>
      </c>
      <c r="I25" s="1" t="s">
        <v>187</v>
      </c>
      <c r="J25" s="1">
        <v>2</v>
      </c>
      <c r="K25" s="14" t="s">
        <v>10</v>
      </c>
      <c r="L25" s="15" t="e">
        <f t="shared" si="13"/>
        <v>#N/A</v>
      </c>
      <c r="M25" s="16">
        <f>SUM($J$6:J25)</f>
        <v>232</v>
      </c>
      <c r="N25" s="17">
        <f t="shared" si="14"/>
        <v>0</v>
      </c>
      <c r="O25" s="18">
        <f t="shared" si="15"/>
        <v>0</v>
      </c>
    </row>
    <row r="26" spans="1:15" x14ac:dyDescent="0.45">
      <c r="A26" s="13"/>
      <c r="B26" s="22" t="e">
        <f t="shared" si="0"/>
        <v>#N/A</v>
      </c>
      <c r="C26" s="23"/>
      <c r="D26" s="1" t="s">
        <v>186</v>
      </c>
      <c r="F26" s="1">
        <v>2.7</v>
      </c>
      <c r="G26" s="1" t="s">
        <v>159</v>
      </c>
      <c r="H26" s="1" t="s">
        <v>193</v>
      </c>
      <c r="I26" s="1" t="s">
        <v>187</v>
      </c>
      <c r="J26" s="1">
        <v>4</v>
      </c>
      <c r="K26" s="14" t="s">
        <v>10</v>
      </c>
      <c r="L26" s="15" t="e">
        <f t="shared" ref="L26:L30" si="16">VLOOKUP(G26,LessonDaysDouble,3,FALSE)*TargetDays</f>
        <v>#N/A</v>
      </c>
      <c r="M26" s="16">
        <f>SUM($J$6:J26)</f>
        <v>236</v>
      </c>
      <c r="N26" s="17">
        <f t="shared" ref="N26" si="17">SUMIFS(PgCnt,CompFlag,"Yes",ActFDate,"&lt;="&amp;B26)</f>
        <v>0</v>
      </c>
      <c r="O26" s="18">
        <f t="shared" ref="O26" si="18">N26/M26</f>
        <v>0</v>
      </c>
    </row>
    <row r="27" spans="1:15" x14ac:dyDescent="0.45">
      <c r="A27" s="13"/>
      <c r="B27" s="22" t="e">
        <f t="shared" si="0"/>
        <v>#N/A</v>
      </c>
      <c r="C27" s="23"/>
      <c r="D27" s="1" t="s">
        <v>186</v>
      </c>
      <c r="F27" s="1">
        <v>2.8</v>
      </c>
      <c r="G27" s="1" t="s">
        <v>155</v>
      </c>
      <c r="H27" s="1" t="s">
        <v>192</v>
      </c>
      <c r="I27" s="1" t="s">
        <v>187</v>
      </c>
      <c r="J27" s="1">
        <v>51</v>
      </c>
      <c r="K27" s="14" t="s">
        <v>10</v>
      </c>
      <c r="L27" s="15" t="e">
        <f t="shared" si="16"/>
        <v>#N/A</v>
      </c>
      <c r="M27" s="16">
        <f>SUM($J$6:J27)</f>
        <v>287</v>
      </c>
      <c r="N27" s="17">
        <f t="shared" ref="N27:N30" si="19">SUMIFS(PgCnt,CompFlag,"Yes",ActFDate,"&lt;="&amp;B27)</f>
        <v>0</v>
      </c>
      <c r="O27" s="18">
        <f t="shared" ref="O27:O30" si="20">N27/M27</f>
        <v>0</v>
      </c>
    </row>
    <row r="28" spans="1:15" x14ac:dyDescent="0.45">
      <c r="A28" s="13"/>
      <c r="B28" s="22" t="e">
        <f t="shared" si="0"/>
        <v>#N/A</v>
      </c>
      <c r="C28" s="23"/>
      <c r="D28" s="1" t="s">
        <v>186</v>
      </c>
      <c r="F28" s="1">
        <v>2.9</v>
      </c>
      <c r="G28" s="1" t="s">
        <v>160</v>
      </c>
      <c r="H28" s="1" t="s">
        <v>194</v>
      </c>
      <c r="I28" s="1" t="s">
        <v>187</v>
      </c>
      <c r="J28" s="1">
        <v>4</v>
      </c>
      <c r="K28" s="14" t="s">
        <v>10</v>
      </c>
      <c r="L28" s="15" t="e">
        <f t="shared" si="16"/>
        <v>#N/A</v>
      </c>
      <c r="M28" s="16">
        <f>SUM($J$6:J28)</f>
        <v>291</v>
      </c>
      <c r="N28" s="17">
        <f t="shared" si="19"/>
        <v>0</v>
      </c>
      <c r="O28" s="18">
        <f t="shared" si="20"/>
        <v>0</v>
      </c>
    </row>
    <row r="29" spans="1:15" x14ac:dyDescent="0.45">
      <c r="A29" s="13"/>
      <c r="B29" s="22" t="e">
        <f t="shared" si="0"/>
        <v>#N/A</v>
      </c>
      <c r="C29" s="23"/>
      <c r="D29" s="1" t="s">
        <v>186</v>
      </c>
      <c r="F29" s="15">
        <v>2.1</v>
      </c>
      <c r="G29" s="1" t="s">
        <v>161</v>
      </c>
      <c r="H29" s="1" t="s">
        <v>195</v>
      </c>
      <c r="I29" s="1" t="s">
        <v>187</v>
      </c>
      <c r="J29" s="1">
        <v>8</v>
      </c>
      <c r="K29" s="14" t="s">
        <v>10</v>
      </c>
      <c r="L29" s="15" t="e">
        <f t="shared" si="16"/>
        <v>#N/A</v>
      </c>
      <c r="M29" s="16">
        <f>SUM($J$6:J29)</f>
        <v>299</v>
      </c>
      <c r="N29" s="17">
        <f t="shared" si="19"/>
        <v>0</v>
      </c>
      <c r="O29" s="18">
        <f t="shared" si="20"/>
        <v>0</v>
      </c>
    </row>
    <row r="30" spans="1:15" x14ac:dyDescent="0.45">
      <c r="A30" s="13"/>
      <c r="B30" s="22" t="e">
        <f t="shared" si="0"/>
        <v>#N/A</v>
      </c>
      <c r="C30" s="23"/>
      <c r="D30" s="1" t="s">
        <v>186</v>
      </c>
      <c r="F30" s="15">
        <v>2.11</v>
      </c>
      <c r="G30" s="1" t="s">
        <v>162</v>
      </c>
      <c r="H30" s="1" t="s">
        <v>196</v>
      </c>
      <c r="I30" s="1" t="s">
        <v>187</v>
      </c>
      <c r="J30" s="1">
        <v>10</v>
      </c>
      <c r="K30" s="14" t="s">
        <v>10</v>
      </c>
      <c r="L30" s="15" t="e">
        <f t="shared" si="16"/>
        <v>#N/A</v>
      </c>
      <c r="M30" s="16">
        <f>SUM($J$6:J30)</f>
        <v>309</v>
      </c>
      <c r="N30" s="17">
        <f t="shared" si="19"/>
        <v>0</v>
      </c>
      <c r="O30" s="18">
        <f t="shared" si="20"/>
        <v>0</v>
      </c>
    </row>
    <row r="31" spans="1:15" x14ac:dyDescent="0.45">
      <c r="A31" s="13"/>
      <c r="B31" s="30" t="e">
        <f t="shared" si="0"/>
        <v>#N/A</v>
      </c>
      <c r="C31" s="31"/>
      <c r="D31" s="32" t="s">
        <v>186</v>
      </c>
      <c r="E31" s="32"/>
      <c r="F31" s="32"/>
      <c r="G31" s="32" t="s">
        <v>60</v>
      </c>
      <c r="H31" s="32"/>
      <c r="I31" s="32"/>
      <c r="J31" s="32"/>
      <c r="K31" s="33" t="s">
        <v>10</v>
      </c>
      <c r="L31" s="34">
        <f t="shared" si="10"/>
        <v>1.0012248647545168</v>
      </c>
      <c r="M31" s="16">
        <f>SUM($J$6:J31)</f>
        <v>309</v>
      </c>
      <c r="N31" s="17">
        <f t="shared" si="11"/>
        <v>0</v>
      </c>
      <c r="O31" s="18">
        <f t="shared" si="12"/>
        <v>0</v>
      </c>
    </row>
    <row r="32" spans="1:15" x14ac:dyDescent="0.45">
      <c r="A32" s="13"/>
      <c r="B32" s="22" t="e">
        <f t="shared" si="0"/>
        <v>#N/A</v>
      </c>
      <c r="C32" s="23"/>
      <c r="D32" s="1" t="s">
        <v>172</v>
      </c>
      <c r="F32" s="1">
        <v>3.1</v>
      </c>
      <c r="G32" s="1" t="s">
        <v>95</v>
      </c>
      <c r="H32" s="1" t="s">
        <v>94</v>
      </c>
      <c r="I32" s="1" t="s">
        <v>93</v>
      </c>
      <c r="J32" s="1">
        <v>37</v>
      </c>
      <c r="K32" s="14" t="s">
        <v>10</v>
      </c>
      <c r="L32" s="15" t="e">
        <f t="shared" si="10"/>
        <v>#N/A</v>
      </c>
      <c r="M32" s="16">
        <f>SUM($J$6:J32)</f>
        <v>346</v>
      </c>
      <c r="N32" s="17">
        <f t="shared" si="11"/>
        <v>0</v>
      </c>
      <c r="O32" s="18">
        <f t="shared" si="12"/>
        <v>0</v>
      </c>
    </row>
    <row r="33" spans="1:15" x14ac:dyDescent="0.45">
      <c r="A33" s="13"/>
      <c r="B33" s="22" t="e">
        <f t="shared" si="0"/>
        <v>#N/A</v>
      </c>
      <c r="C33" s="23"/>
      <c r="D33" s="1" t="s">
        <v>172</v>
      </c>
      <c r="F33" s="1">
        <v>3.2</v>
      </c>
      <c r="G33" s="1" t="s">
        <v>96</v>
      </c>
      <c r="H33" s="1" t="s">
        <v>105</v>
      </c>
      <c r="I33" s="1" t="s">
        <v>93</v>
      </c>
      <c r="J33" s="1">
        <v>21</v>
      </c>
      <c r="K33" s="14" t="s">
        <v>10</v>
      </c>
      <c r="L33" s="15" t="e">
        <f t="shared" si="10"/>
        <v>#N/A</v>
      </c>
      <c r="M33" s="16">
        <f>SUM($J$6:J33)</f>
        <v>367</v>
      </c>
      <c r="N33" s="17">
        <f t="shared" si="11"/>
        <v>0</v>
      </c>
      <c r="O33" s="18">
        <f t="shared" si="12"/>
        <v>0</v>
      </c>
    </row>
    <row r="34" spans="1:15" x14ac:dyDescent="0.45">
      <c r="A34" s="13"/>
      <c r="B34" s="22" t="e">
        <f t="shared" si="0"/>
        <v>#N/A</v>
      </c>
      <c r="C34" s="23"/>
      <c r="D34" s="1" t="s">
        <v>172</v>
      </c>
      <c r="F34" s="1">
        <v>3.3</v>
      </c>
      <c r="G34" s="1" t="s">
        <v>97</v>
      </c>
      <c r="H34" s="1" t="s">
        <v>106</v>
      </c>
      <c r="I34" s="1" t="s">
        <v>93</v>
      </c>
      <c r="J34" s="1">
        <v>15</v>
      </c>
      <c r="K34" s="14" t="s">
        <v>10</v>
      </c>
      <c r="L34" s="15" t="e">
        <f t="shared" si="10"/>
        <v>#N/A</v>
      </c>
      <c r="M34" s="16">
        <f>SUM($J$6:J34)</f>
        <v>382</v>
      </c>
      <c r="N34" s="17">
        <f t="shared" si="11"/>
        <v>0</v>
      </c>
      <c r="O34" s="18">
        <f t="shared" si="12"/>
        <v>0</v>
      </c>
    </row>
    <row r="35" spans="1:15" x14ac:dyDescent="0.45">
      <c r="A35" s="13"/>
      <c r="B35" s="22" t="e">
        <f t="shared" si="0"/>
        <v>#N/A</v>
      </c>
      <c r="C35" s="23"/>
      <c r="D35" s="1" t="s">
        <v>172</v>
      </c>
      <c r="F35" s="1">
        <v>3.4</v>
      </c>
      <c r="G35" s="1" t="s">
        <v>98</v>
      </c>
      <c r="H35" s="1" t="s">
        <v>107</v>
      </c>
      <c r="I35" s="1" t="s">
        <v>93</v>
      </c>
      <c r="J35" s="1">
        <v>17</v>
      </c>
      <c r="K35" s="14" t="s">
        <v>10</v>
      </c>
      <c r="L35" s="15" t="e">
        <f t="shared" si="10"/>
        <v>#N/A</v>
      </c>
      <c r="M35" s="16">
        <f>SUM($J$6:J35)</f>
        <v>399</v>
      </c>
      <c r="N35" s="17">
        <f t="shared" si="11"/>
        <v>0</v>
      </c>
      <c r="O35" s="18">
        <f t="shared" si="12"/>
        <v>0</v>
      </c>
    </row>
    <row r="36" spans="1:15" x14ac:dyDescent="0.45">
      <c r="A36" s="13"/>
      <c r="B36" s="22" t="e">
        <f t="shared" si="0"/>
        <v>#N/A</v>
      </c>
      <c r="C36" s="23"/>
      <c r="D36" s="1" t="s">
        <v>172</v>
      </c>
      <c r="F36" s="1">
        <v>3.5</v>
      </c>
      <c r="G36" s="1" t="s">
        <v>99</v>
      </c>
      <c r="H36" s="1" t="s">
        <v>108</v>
      </c>
      <c r="I36" s="1" t="s">
        <v>93</v>
      </c>
      <c r="J36" s="1">
        <v>25</v>
      </c>
      <c r="K36" s="14" t="s">
        <v>10</v>
      </c>
      <c r="L36" s="15" t="e">
        <f t="shared" si="10"/>
        <v>#N/A</v>
      </c>
      <c r="M36" s="16">
        <f>SUM($J$6:J36)</f>
        <v>424</v>
      </c>
      <c r="N36" s="17">
        <f t="shared" si="11"/>
        <v>0</v>
      </c>
      <c r="O36" s="18">
        <f t="shared" si="12"/>
        <v>0</v>
      </c>
    </row>
    <row r="37" spans="1:15" x14ac:dyDescent="0.45">
      <c r="A37" s="13"/>
      <c r="B37" s="22" t="e">
        <f t="shared" si="0"/>
        <v>#N/A</v>
      </c>
      <c r="C37" s="23"/>
      <c r="D37" s="1" t="s">
        <v>172</v>
      </c>
      <c r="F37" s="1">
        <v>3.6</v>
      </c>
      <c r="G37" s="1" t="s">
        <v>100</v>
      </c>
      <c r="H37" s="1" t="s">
        <v>109</v>
      </c>
      <c r="I37" s="1" t="s">
        <v>93</v>
      </c>
      <c r="J37" s="1">
        <v>19</v>
      </c>
      <c r="K37" s="14" t="s">
        <v>10</v>
      </c>
      <c r="L37" s="15" t="e">
        <f t="shared" si="10"/>
        <v>#N/A</v>
      </c>
      <c r="M37" s="16">
        <f>SUM($J$6:J37)</f>
        <v>443</v>
      </c>
      <c r="N37" s="17">
        <f t="shared" si="11"/>
        <v>0</v>
      </c>
      <c r="O37" s="18">
        <f t="shared" si="12"/>
        <v>0</v>
      </c>
    </row>
    <row r="38" spans="1:15" x14ac:dyDescent="0.45">
      <c r="A38" s="13"/>
      <c r="B38" s="22" t="e">
        <f t="shared" si="0"/>
        <v>#N/A</v>
      </c>
      <c r="C38" s="23"/>
      <c r="D38" s="1" t="s">
        <v>172</v>
      </c>
      <c r="F38" s="1">
        <v>3.7</v>
      </c>
      <c r="G38" s="48" t="s">
        <v>164</v>
      </c>
      <c r="H38" s="1" t="s">
        <v>197</v>
      </c>
      <c r="I38" s="1" t="s">
        <v>93</v>
      </c>
      <c r="J38" s="1">
        <v>16</v>
      </c>
      <c r="K38" s="14" t="s">
        <v>10</v>
      </c>
      <c r="L38" s="15" t="e">
        <f t="shared" si="10"/>
        <v>#N/A</v>
      </c>
      <c r="M38" s="16">
        <f>SUM($J$6:J38)</f>
        <v>459</v>
      </c>
      <c r="N38" s="17">
        <f t="shared" si="11"/>
        <v>0</v>
      </c>
      <c r="O38" s="18">
        <f t="shared" si="12"/>
        <v>0</v>
      </c>
    </row>
    <row r="39" spans="1:15" x14ac:dyDescent="0.45">
      <c r="A39" s="13"/>
      <c r="B39" s="22" t="e">
        <f t="shared" si="0"/>
        <v>#N/A</v>
      </c>
      <c r="C39" s="23"/>
      <c r="D39" s="1" t="s">
        <v>172</v>
      </c>
      <c r="F39" s="1">
        <v>3.8</v>
      </c>
      <c r="G39" s="1" t="s">
        <v>115</v>
      </c>
      <c r="H39" s="1" t="s">
        <v>115</v>
      </c>
      <c r="I39" s="1" t="s">
        <v>93</v>
      </c>
      <c r="J39" s="1">
        <v>4</v>
      </c>
      <c r="K39" s="14" t="s">
        <v>10</v>
      </c>
      <c r="L39" s="15" t="e">
        <f t="shared" si="10"/>
        <v>#N/A</v>
      </c>
      <c r="M39" s="16">
        <f>SUM($J$6:J39)</f>
        <v>463</v>
      </c>
      <c r="N39" s="17">
        <f t="shared" si="11"/>
        <v>0</v>
      </c>
      <c r="O39" s="18">
        <f t="shared" si="12"/>
        <v>0</v>
      </c>
    </row>
    <row r="40" spans="1:15" x14ac:dyDescent="0.45">
      <c r="A40" s="13"/>
      <c r="B40" s="22" t="e">
        <f t="shared" si="0"/>
        <v>#N/A</v>
      </c>
      <c r="C40" s="23"/>
      <c r="D40" s="1" t="s">
        <v>172</v>
      </c>
      <c r="F40" s="1">
        <v>3.9</v>
      </c>
      <c r="G40" t="s">
        <v>165</v>
      </c>
      <c r="H40" t="s">
        <v>198</v>
      </c>
      <c r="I40" s="1" t="s">
        <v>93</v>
      </c>
      <c r="J40" s="1">
        <v>8</v>
      </c>
      <c r="K40" s="14" t="s">
        <v>10</v>
      </c>
      <c r="L40" s="15" t="e">
        <f t="shared" si="10"/>
        <v>#N/A</v>
      </c>
      <c r="M40" s="16">
        <f>SUM($J$6:J40)</f>
        <v>471</v>
      </c>
      <c r="N40" s="17">
        <f t="shared" si="11"/>
        <v>0</v>
      </c>
      <c r="O40" s="18">
        <f t="shared" si="12"/>
        <v>0</v>
      </c>
    </row>
    <row r="41" spans="1:15" x14ac:dyDescent="0.45">
      <c r="A41" s="13"/>
      <c r="B41" s="22" t="e">
        <f t="shared" si="0"/>
        <v>#N/A</v>
      </c>
      <c r="C41" s="23"/>
      <c r="D41" s="1" t="s">
        <v>172</v>
      </c>
      <c r="F41" s="15">
        <v>3.1</v>
      </c>
      <c r="G41" t="s">
        <v>166</v>
      </c>
      <c r="H41" t="s">
        <v>199</v>
      </c>
      <c r="I41" s="1" t="s">
        <v>93</v>
      </c>
      <c r="J41" s="1">
        <v>3</v>
      </c>
      <c r="K41" s="14" t="s">
        <v>10</v>
      </c>
      <c r="L41" s="15" t="e">
        <f t="shared" si="10"/>
        <v>#N/A</v>
      </c>
      <c r="M41" s="16">
        <f>SUM($J$6:J41)</f>
        <v>474</v>
      </c>
      <c r="N41" s="17">
        <f t="shared" si="11"/>
        <v>0</v>
      </c>
      <c r="O41" s="18">
        <f t="shared" si="12"/>
        <v>0</v>
      </c>
    </row>
    <row r="42" spans="1:15" x14ac:dyDescent="0.45">
      <c r="A42" s="13"/>
      <c r="B42" s="30" t="e">
        <f t="shared" si="0"/>
        <v>#N/A</v>
      </c>
      <c r="C42" s="31"/>
      <c r="D42" s="32" t="s">
        <v>172</v>
      </c>
      <c r="E42" s="32"/>
      <c r="F42" s="32"/>
      <c r="G42" s="32" t="s">
        <v>61</v>
      </c>
      <c r="H42" s="32"/>
      <c r="I42" s="32"/>
      <c r="J42" s="32"/>
      <c r="K42" s="33" t="s">
        <v>10</v>
      </c>
      <c r="L42" s="34">
        <f t="shared" si="10"/>
        <v>1.0012248647545168</v>
      </c>
      <c r="M42" s="16">
        <f>SUM($J$6:J42)</f>
        <v>474</v>
      </c>
      <c r="N42" s="17">
        <f t="shared" si="11"/>
        <v>0</v>
      </c>
      <c r="O42" s="18">
        <f t="shared" ref="O42" si="21">N42/M42</f>
        <v>0</v>
      </c>
    </row>
    <row r="43" spans="1:15" x14ac:dyDescent="0.45">
      <c r="A43" s="13"/>
      <c r="B43" s="22" t="e">
        <f t="shared" si="0"/>
        <v>#N/A</v>
      </c>
      <c r="C43" s="23"/>
      <c r="D43" s="1" t="s">
        <v>171</v>
      </c>
      <c r="F43" s="1">
        <v>4.0999999999999996</v>
      </c>
      <c r="G43" t="s">
        <v>87</v>
      </c>
      <c r="H43" s="1" t="s">
        <v>50</v>
      </c>
      <c r="I43" s="1" t="s">
        <v>63</v>
      </c>
      <c r="J43" s="1">
        <v>12</v>
      </c>
      <c r="K43" s="14" t="s">
        <v>10</v>
      </c>
      <c r="L43" s="15" t="e">
        <f t="shared" ref="L43:L44" si="22">VLOOKUP(G43,LessonDaysDouble,3,FALSE)*TargetDays</f>
        <v>#N/A</v>
      </c>
      <c r="M43" s="16">
        <f>SUM($J$6:J43)</f>
        <v>486</v>
      </c>
      <c r="N43" s="17">
        <f t="shared" ref="N43:N44" si="23">SUMIFS(PgCnt,CompFlag,"Yes",ActFDate,"&lt;="&amp;B43)</f>
        <v>0</v>
      </c>
      <c r="O43" s="18">
        <f t="shared" ref="O43:O44" si="24">N43/M43</f>
        <v>0</v>
      </c>
    </row>
    <row r="44" spans="1:15" x14ac:dyDescent="0.45">
      <c r="A44" s="13"/>
      <c r="B44" s="22" t="e">
        <f t="shared" si="0"/>
        <v>#N/A</v>
      </c>
      <c r="C44" s="23"/>
      <c r="D44" s="1" t="s">
        <v>171</v>
      </c>
      <c r="F44" s="1">
        <v>4.2</v>
      </c>
      <c r="G44" s="1" t="s">
        <v>167</v>
      </c>
      <c r="H44" s="1" t="s">
        <v>62</v>
      </c>
      <c r="I44" s="1" t="s">
        <v>63</v>
      </c>
      <c r="J44" s="1">
        <v>7</v>
      </c>
      <c r="K44" s="14" t="s">
        <v>10</v>
      </c>
      <c r="L44" s="15" t="e">
        <f t="shared" si="22"/>
        <v>#N/A</v>
      </c>
      <c r="M44" s="16">
        <f>SUM($J$6:J44)</f>
        <v>493</v>
      </c>
      <c r="N44" s="17">
        <f t="shared" si="23"/>
        <v>0</v>
      </c>
      <c r="O44" s="18">
        <f t="shared" si="24"/>
        <v>0</v>
      </c>
    </row>
    <row r="45" spans="1:15" x14ac:dyDescent="0.45">
      <c r="A45" s="13"/>
      <c r="B45" s="22" t="e">
        <f t="shared" si="0"/>
        <v>#N/A</v>
      </c>
      <c r="C45" s="23"/>
      <c r="D45" s="1" t="s">
        <v>171</v>
      </c>
      <c r="F45" s="1">
        <v>4.3</v>
      </c>
      <c r="G45" t="s">
        <v>58</v>
      </c>
      <c r="H45" s="1" t="s">
        <v>50</v>
      </c>
      <c r="I45" s="1" t="s">
        <v>63</v>
      </c>
      <c r="J45" s="1">
        <v>20</v>
      </c>
      <c r="K45" s="14" t="s">
        <v>10</v>
      </c>
      <c r="L45" s="15" t="e">
        <f t="shared" ref="L45:L53" si="25">VLOOKUP(G45,LessonDaysDouble,3,FALSE)*TargetDays</f>
        <v>#N/A</v>
      </c>
      <c r="M45" s="16">
        <f>SUM($J$6:J45)</f>
        <v>513</v>
      </c>
      <c r="N45" s="17">
        <f t="shared" ref="N45:N47" si="26">SUMIFS(PgCnt,CompFlag,"Yes",ActFDate,"&lt;="&amp;B45)</f>
        <v>0</v>
      </c>
      <c r="O45" s="18">
        <f t="shared" ref="O45:O47" si="27">N45/M45</f>
        <v>0</v>
      </c>
    </row>
    <row r="46" spans="1:15" x14ac:dyDescent="0.45">
      <c r="A46" s="13"/>
      <c r="B46" s="22" t="e">
        <f t="shared" si="0"/>
        <v>#N/A</v>
      </c>
      <c r="C46" s="23"/>
      <c r="D46" s="1" t="s">
        <v>171</v>
      </c>
      <c r="F46" s="1">
        <v>4.4000000000000004</v>
      </c>
      <c r="G46" t="s">
        <v>91</v>
      </c>
      <c r="H46" s="1" t="s">
        <v>92</v>
      </c>
      <c r="I46" s="1" t="s">
        <v>63</v>
      </c>
      <c r="J46" s="1">
        <v>22</v>
      </c>
      <c r="K46" s="14" t="s">
        <v>10</v>
      </c>
      <c r="L46" s="15" t="e">
        <f t="shared" si="25"/>
        <v>#N/A</v>
      </c>
      <c r="M46" s="16">
        <f>SUM($J$6:J46)</f>
        <v>535</v>
      </c>
      <c r="N46" s="17">
        <f t="shared" si="26"/>
        <v>0</v>
      </c>
      <c r="O46" s="18">
        <f t="shared" si="27"/>
        <v>0</v>
      </c>
    </row>
    <row r="47" spans="1:15" x14ac:dyDescent="0.45">
      <c r="A47" s="13"/>
      <c r="B47" s="22" t="e">
        <f t="shared" si="0"/>
        <v>#N/A</v>
      </c>
      <c r="C47" s="23"/>
      <c r="D47" s="1" t="s">
        <v>171</v>
      </c>
      <c r="F47" s="1">
        <v>4.5</v>
      </c>
      <c r="G47" s="1" t="s">
        <v>168</v>
      </c>
      <c r="H47" s="1" t="s">
        <v>201</v>
      </c>
      <c r="I47" s="1" t="s">
        <v>63</v>
      </c>
      <c r="J47" s="1">
        <v>33</v>
      </c>
      <c r="K47" s="14" t="s">
        <v>10</v>
      </c>
      <c r="L47" s="15" t="e">
        <f t="shared" si="25"/>
        <v>#N/A</v>
      </c>
      <c r="M47" s="16">
        <f>SUM($J$6:J47)</f>
        <v>568</v>
      </c>
      <c r="N47" s="17">
        <f t="shared" si="26"/>
        <v>0</v>
      </c>
      <c r="O47" s="18">
        <f t="shared" si="27"/>
        <v>0</v>
      </c>
    </row>
    <row r="48" spans="1:15" x14ac:dyDescent="0.45">
      <c r="A48" s="13"/>
      <c r="B48" s="22" t="e">
        <f t="shared" si="0"/>
        <v>#N/A</v>
      </c>
      <c r="C48" s="23"/>
      <c r="D48" s="1" t="s">
        <v>171</v>
      </c>
      <c r="F48" s="1">
        <v>4.5999999999999996</v>
      </c>
      <c r="G48" s="1" t="s">
        <v>135</v>
      </c>
      <c r="H48" s="1" t="s">
        <v>136</v>
      </c>
      <c r="I48" s="1" t="s">
        <v>63</v>
      </c>
      <c r="J48" s="1">
        <v>7</v>
      </c>
      <c r="K48" s="14" t="s">
        <v>10</v>
      </c>
      <c r="L48" s="15" t="e">
        <f t="shared" si="25"/>
        <v>#N/A</v>
      </c>
      <c r="M48" s="16">
        <f>SUM($J$6:J48)</f>
        <v>575</v>
      </c>
      <c r="N48" s="17">
        <f t="shared" ref="N48:N53" si="28">SUMIFS(PgCnt,CompFlag,"Yes",ActFDate,"&lt;="&amp;B48)</f>
        <v>0</v>
      </c>
      <c r="O48" s="18">
        <f t="shared" ref="O48:O53" si="29">N48/M48</f>
        <v>0</v>
      </c>
    </row>
    <row r="49" spans="1:15" x14ac:dyDescent="0.45">
      <c r="A49" s="13"/>
      <c r="B49" s="22" t="e">
        <f t="shared" si="0"/>
        <v>#N/A</v>
      </c>
      <c r="C49" s="23"/>
      <c r="D49" s="1" t="s">
        <v>171</v>
      </c>
      <c r="F49" s="1">
        <v>4.7</v>
      </c>
      <c r="G49" s="1" t="s">
        <v>116</v>
      </c>
      <c r="H49" s="1" t="s">
        <v>117</v>
      </c>
      <c r="I49" s="1" t="s">
        <v>63</v>
      </c>
      <c r="J49" s="1">
        <v>19</v>
      </c>
      <c r="K49" s="14" t="s">
        <v>10</v>
      </c>
      <c r="L49" s="15" t="e">
        <f t="shared" si="25"/>
        <v>#N/A</v>
      </c>
      <c r="M49" s="16">
        <f>SUM($J$6:J49)</f>
        <v>594</v>
      </c>
      <c r="N49" s="17">
        <f t="shared" si="28"/>
        <v>0</v>
      </c>
      <c r="O49" s="18">
        <f t="shared" si="29"/>
        <v>0</v>
      </c>
    </row>
    <row r="50" spans="1:15" x14ac:dyDescent="0.45">
      <c r="A50" s="13"/>
      <c r="B50" s="22" t="e">
        <f t="shared" si="0"/>
        <v>#N/A</v>
      </c>
      <c r="C50" s="23"/>
      <c r="D50" s="1" t="s">
        <v>171</v>
      </c>
      <c r="F50" s="1">
        <v>4.8</v>
      </c>
      <c r="G50" s="1" t="s">
        <v>103</v>
      </c>
      <c r="H50" s="1" t="s">
        <v>104</v>
      </c>
      <c r="I50" s="1" t="s">
        <v>63</v>
      </c>
      <c r="J50" s="1">
        <v>12</v>
      </c>
      <c r="K50" s="14" t="s">
        <v>10</v>
      </c>
      <c r="L50" s="15" t="e">
        <f t="shared" si="25"/>
        <v>#N/A</v>
      </c>
      <c r="M50" s="16">
        <f>SUM($J$6:J50)</f>
        <v>606</v>
      </c>
      <c r="N50" s="17">
        <f t="shared" si="28"/>
        <v>0</v>
      </c>
      <c r="O50" s="18">
        <f t="shared" si="29"/>
        <v>0</v>
      </c>
    </row>
    <row r="51" spans="1:15" x14ac:dyDescent="0.45">
      <c r="A51" s="13"/>
      <c r="B51" s="22" t="e">
        <f t="shared" si="0"/>
        <v>#N/A</v>
      </c>
      <c r="C51" s="23"/>
      <c r="D51" s="1" t="s">
        <v>171</v>
      </c>
      <c r="F51" s="1">
        <v>4.9000000000000004</v>
      </c>
      <c r="G51" s="1" t="s">
        <v>169</v>
      </c>
      <c r="H51" s="1" t="s">
        <v>200</v>
      </c>
      <c r="I51" s="1" t="s">
        <v>63</v>
      </c>
      <c r="J51" s="1">
        <v>24</v>
      </c>
      <c r="K51" s="14" t="s">
        <v>10</v>
      </c>
      <c r="L51" s="15" t="e">
        <f t="shared" si="25"/>
        <v>#N/A</v>
      </c>
      <c r="M51" s="16">
        <f>SUM($J$6:J51)</f>
        <v>630</v>
      </c>
      <c r="N51" s="17">
        <f t="shared" si="28"/>
        <v>0</v>
      </c>
      <c r="O51" s="18">
        <f t="shared" si="29"/>
        <v>0</v>
      </c>
    </row>
    <row r="52" spans="1:15" x14ac:dyDescent="0.45">
      <c r="A52" s="13"/>
      <c r="B52" s="22" t="e">
        <f t="shared" si="0"/>
        <v>#N/A</v>
      </c>
      <c r="C52" s="23"/>
      <c r="D52" s="1" t="s">
        <v>171</v>
      </c>
      <c r="F52" s="15">
        <v>4.0999999999999996</v>
      </c>
      <c r="G52" s="1" t="s">
        <v>83</v>
      </c>
      <c r="H52" s="1" t="s">
        <v>86</v>
      </c>
      <c r="I52" s="1" t="s">
        <v>63</v>
      </c>
      <c r="J52" s="1">
        <v>8</v>
      </c>
      <c r="K52" s="14" t="s">
        <v>10</v>
      </c>
      <c r="L52" s="15">
        <f t="shared" si="25"/>
        <v>0.50061243237725839</v>
      </c>
      <c r="M52" s="16">
        <f>SUM($J$6:J52)</f>
        <v>638</v>
      </c>
      <c r="N52" s="17">
        <f t="shared" si="28"/>
        <v>0</v>
      </c>
      <c r="O52" s="18">
        <f t="shared" si="29"/>
        <v>0</v>
      </c>
    </row>
    <row r="53" spans="1:15" x14ac:dyDescent="0.45">
      <c r="A53" s="13"/>
      <c r="B53" s="22" t="e">
        <f t="shared" si="0"/>
        <v>#N/A</v>
      </c>
      <c r="C53" s="23"/>
      <c r="D53" s="1" t="s">
        <v>171</v>
      </c>
      <c r="F53" s="1">
        <v>4.1100000000000003</v>
      </c>
      <c r="G53" s="1" t="s">
        <v>84</v>
      </c>
      <c r="H53" s="1" t="s">
        <v>85</v>
      </c>
      <c r="I53" s="1" t="s">
        <v>63</v>
      </c>
      <c r="J53" s="1">
        <v>11</v>
      </c>
      <c r="K53" s="14" t="s">
        <v>10</v>
      </c>
      <c r="L53" s="15">
        <f t="shared" si="25"/>
        <v>0.50061243237725839</v>
      </c>
      <c r="M53" s="16">
        <f>SUM($J$6:J53)</f>
        <v>649</v>
      </c>
      <c r="N53" s="17">
        <f t="shared" si="28"/>
        <v>0</v>
      </c>
      <c r="O53" s="18">
        <f t="shared" si="29"/>
        <v>0</v>
      </c>
    </row>
    <row r="54" spans="1:15" x14ac:dyDescent="0.45">
      <c r="A54" s="13"/>
      <c r="B54" s="30" t="e">
        <f t="shared" si="0"/>
        <v>#N/A</v>
      </c>
      <c r="C54" s="31"/>
      <c r="D54" s="32" t="s">
        <v>171</v>
      </c>
      <c r="E54" s="32"/>
      <c r="F54" s="32"/>
      <c r="G54" s="32" t="s">
        <v>170</v>
      </c>
      <c r="H54" s="32"/>
      <c r="I54" s="32"/>
      <c r="J54" s="32"/>
      <c r="K54" s="33" t="s">
        <v>10</v>
      </c>
      <c r="L54" s="34">
        <f t="shared" ref="L54:L91" si="30">VLOOKUP(G54,LessonDaysDouble,3,FALSE)*TargetDays</f>
        <v>1.0012248647545168</v>
      </c>
      <c r="M54" s="16">
        <f>SUM($J$6:J54)</f>
        <v>649</v>
      </c>
      <c r="N54" s="17">
        <f t="shared" ref="N54" si="31">SUMIFS(PgCnt,CompFlag,"Yes",ActFDate,"&lt;="&amp;B54)</f>
        <v>0</v>
      </c>
      <c r="O54" s="18">
        <f t="shared" si="12"/>
        <v>0</v>
      </c>
    </row>
    <row r="55" spans="1:15" x14ac:dyDescent="0.45">
      <c r="A55" s="13"/>
      <c r="B55" s="22" t="e">
        <f t="shared" si="0"/>
        <v>#N/A</v>
      </c>
      <c r="C55" s="23"/>
      <c r="D55" s="1" t="s">
        <v>173</v>
      </c>
      <c r="F55" s="1">
        <v>1.1000000000000001</v>
      </c>
      <c r="G55" s="1" t="s">
        <v>141</v>
      </c>
      <c r="H55" s="1" t="s">
        <v>175</v>
      </c>
      <c r="I55" s="1" t="s">
        <v>174</v>
      </c>
      <c r="J55" s="1">
        <v>10</v>
      </c>
      <c r="K55" s="14" t="s">
        <v>10</v>
      </c>
      <c r="L55" s="15" t="e">
        <f t="shared" si="30"/>
        <v>#N/A</v>
      </c>
      <c r="M55" s="16">
        <f>SUM($J$6:J55)</f>
        <v>659</v>
      </c>
      <c r="N55" s="17">
        <f t="shared" ref="N55:N102" si="32">SUMIFS(PgCnt,CompFlag,"Yes",ActFDate,"&lt;="&amp;B55)</f>
        <v>0</v>
      </c>
      <c r="O55" s="18">
        <f t="shared" ref="O55:O102" si="33">N55/M55</f>
        <v>0</v>
      </c>
    </row>
    <row r="56" spans="1:15" x14ac:dyDescent="0.45">
      <c r="A56" s="13"/>
      <c r="B56" s="22" t="e">
        <f t="shared" si="0"/>
        <v>#N/A</v>
      </c>
      <c r="C56" s="23"/>
      <c r="D56" s="1" t="s">
        <v>173</v>
      </c>
      <c r="F56" s="1">
        <v>1.2</v>
      </c>
      <c r="G56" s="1" t="s">
        <v>142</v>
      </c>
      <c r="H56" s="1" t="s">
        <v>176</v>
      </c>
      <c r="I56" s="1" t="s">
        <v>174</v>
      </c>
      <c r="J56" s="1">
        <v>24</v>
      </c>
      <c r="K56" s="14" t="s">
        <v>10</v>
      </c>
      <c r="L56" s="15" t="e">
        <f t="shared" si="30"/>
        <v>#N/A</v>
      </c>
      <c r="M56" s="16">
        <f>SUM($J$6:J56)</f>
        <v>683</v>
      </c>
      <c r="N56" s="17">
        <f t="shared" si="32"/>
        <v>0</v>
      </c>
      <c r="O56" s="18">
        <f t="shared" si="33"/>
        <v>0</v>
      </c>
    </row>
    <row r="57" spans="1:15" x14ac:dyDescent="0.45">
      <c r="A57" s="13"/>
      <c r="B57" s="22" t="e">
        <f t="shared" si="0"/>
        <v>#N/A</v>
      </c>
      <c r="C57" s="23"/>
      <c r="D57" s="1" t="s">
        <v>173</v>
      </c>
      <c r="F57" s="1">
        <v>1.3</v>
      </c>
      <c r="G57" s="1" t="s">
        <v>143</v>
      </c>
      <c r="H57" s="1" t="s">
        <v>177</v>
      </c>
      <c r="I57" s="1" t="s">
        <v>174</v>
      </c>
      <c r="J57" s="1">
        <v>6</v>
      </c>
      <c r="K57" s="14" t="s">
        <v>10</v>
      </c>
      <c r="L57" s="15" t="e">
        <f t="shared" si="30"/>
        <v>#N/A</v>
      </c>
      <c r="M57" s="16">
        <f>SUM($J$6:J57)</f>
        <v>689</v>
      </c>
      <c r="N57" s="17">
        <f t="shared" si="32"/>
        <v>0</v>
      </c>
      <c r="O57" s="18">
        <f t="shared" si="33"/>
        <v>0</v>
      </c>
    </row>
    <row r="58" spans="1:15" x14ac:dyDescent="0.45">
      <c r="A58" s="13"/>
      <c r="B58" s="22" t="e">
        <f t="shared" si="0"/>
        <v>#N/A</v>
      </c>
      <c r="C58" s="23"/>
      <c r="D58" s="1" t="s">
        <v>173</v>
      </c>
      <c r="F58" s="1">
        <v>1.4</v>
      </c>
      <c r="G58" s="1" t="s">
        <v>144</v>
      </c>
      <c r="H58" s="1" t="s">
        <v>178</v>
      </c>
      <c r="I58" s="1" t="s">
        <v>174</v>
      </c>
      <c r="J58" s="1">
        <v>36</v>
      </c>
      <c r="K58" s="14" t="s">
        <v>10</v>
      </c>
      <c r="L58" s="15" t="e">
        <f t="shared" si="30"/>
        <v>#N/A</v>
      </c>
      <c r="M58" s="16">
        <f>SUM($J$6:J58)</f>
        <v>725</v>
      </c>
      <c r="N58" s="17">
        <f t="shared" si="32"/>
        <v>0</v>
      </c>
      <c r="O58" s="18">
        <f t="shared" si="33"/>
        <v>0</v>
      </c>
    </row>
    <row r="59" spans="1:15" x14ac:dyDescent="0.45">
      <c r="A59" s="13"/>
      <c r="B59" s="22" t="e">
        <f t="shared" si="0"/>
        <v>#N/A</v>
      </c>
      <c r="C59" s="23"/>
      <c r="D59" s="1" t="s">
        <v>173</v>
      </c>
      <c r="F59" s="1">
        <v>1.5</v>
      </c>
      <c r="G59" s="1" t="s">
        <v>145</v>
      </c>
      <c r="H59" s="1" t="s">
        <v>179</v>
      </c>
      <c r="I59" s="1" t="s">
        <v>174</v>
      </c>
      <c r="J59" s="1">
        <v>24</v>
      </c>
      <c r="K59" s="14" t="s">
        <v>10</v>
      </c>
      <c r="L59" s="15" t="e">
        <f t="shared" si="30"/>
        <v>#N/A</v>
      </c>
      <c r="M59" s="16">
        <f>SUM($J$6:J59)</f>
        <v>749</v>
      </c>
      <c r="N59" s="17">
        <f t="shared" si="32"/>
        <v>0</v>
      </c>
      <c r="O59" s="18">
        <f t="shared" si="33"/>
        <v>0</v>
      </c>
    </row>
    <row r="60" spans="1:15" x14ac:dyDescent="0.45">
      <c r="A60" s="13"/>
      <c r="B60" s="22" t="e">
        <f t="shared" si="0"/>
        <v>#N/A</v>
      </c>
      <c r="C60" s="23"/>
      <c r="D60" s="1" t="s">
        <v>173</v>
      </c>
      <c r="F60" s="1">
        <v>1.6</v>
      </c>
      <c r="G60" s="1" t="s">
        <v>146</v>
      </c>
      <c r="H60" s="1" t="s">
        <v>180</v>
      </c>
      <c r="I60" s="1" t="s">
        <v>174</v>
      </c>
      <c r="J60" s="1">
        <v>6</v>
      </c>
      <c r="K60" s="14" t="s">
        <v>10</v>
      </c>
      <c r="L60" s="15" t="e">
        <f t="shared" ref="L60:L62" si="34">VLOOKUP(G60,LessonDaysDouble,3,FALSE)*TargetDays</f>
        <v>#N/A</v>
      </c>
      <c r="M60" s="16">
        <f>SUM($J$6:J60)</f>
        <v>755</v>
      </c>
      <c r="N60" s="17">
        <f t="shared" ref="N60:N62" si="35">SUMIFS(PgCnt,CompFlag,"Yes",ActFDate,"&lt;="&amp;B60)</f>
        <v>0</v>
      </c>
      <c r="O60" s="18">
        <f t="shared" ref="O60:O62" si="36">N60/M60</f>
        <v>0</v>
      </c>
    </row>
    <row r="61" spans="1:15" x14ac:dyDescent="0.45">
      <c r="A61" s="13"/>
      <c r="B61" s="22" t="e">
        <f t="shared" si="0"/>
        <v>#N/A</v>
      </c>
      <c r="C61" s="23"/>
      <c r="D61" s="1" t="s">
        <v>173</v>
      </c>
      <c r="F61" s="1">
        <v>1.7</v>
      </c>
      <c r="G61" s="1" t="s">
        <v>149</v>
      </c>
      <c r="H61" s="1" t="s">
        <v>181</v>
      </c>
      <c r="I61" s="1" t="s">
        <v>174</v>
      </c>
      <c r="J61" s="1">
        <v>19</v>
      </c>
      <c r="K61" s="14" t="s">
        <v>10</v>
      </c>
      <c r="L61" s="15" t="e">
        <f t="shared" si="34"/>
        <v>#N/A</v>
      </c>
      <c r="M61" s="16">
        <f>SUM($J$6:J61)</f>
        <v>774</v>
      </c>
      <c r="N61" s="17">
        <f t="shared" si="35"/>
        <v>0</v>
      </c>
      <c r="O61" s="18">
        <f t="shared" si="36"/>
        <v>0</v>
      </c>
    </row>
    <row r="62" spans="1:15" x14ac:dyDescent="0.45">
      <c r="A62" s="13"/>
      <c r="B62" s="22" t="e">
        <f t="shared" si="0"/>
        <v>#N/A</v>
      </c>
      <c r="C62" s="23"/>
      <c r="D62" s="1" t="s">
        <v>173</v>
      </c>
      <c r="F62" s="1">
        <v>1.8</v>
      </c>
      <c r="G62" s="1" t="s">
        <v>152</v>
      </c>
      <c r="H62" s="1" t="s">
        <v>152</v>
      </c>
      <c r="I62" s="1" t="s">
        <v>174</v>
      </c>
      <c r="J62" s="1">
        <v>11</v>
      </c>
      <c r="K62" s="14" t="s">
        <v>10</v>
      </c>
      <c r="L62" s="15" t="e">
        <f t="shared" si="34"/>
        <v>#N/A</v>
      </c>
      <c r="M62" s="16">
        <f>SUM($J$6:J62)</f>
        <v>785</v>
      </c>
      <c r="N62" s="17">
        <f t="shared" si="35"/>
        <v>0</v>
      </c>
      <c r="O62" s="18">
        <f t="shared" si="36"/>
        <v>0</v>
      </c>
    </row>
    <row r="63" spans="1:15" x14ac:dyDescent="0.45">
      <c r="A63" s="13"/>
      <c r="B63" s="22" t="e">
        <f t="shared" si="0"/>
        <v>#N/A</v>
      </c>
      <c r="C63" s="23"/>
      <c r="D63" s="1" t="s">
        <v>173</v>
      </c>
      <c r="F63" s="1">
        <v>1.9</v>
      </c>
      <c r="G63" s="1" t="s">
        <v>147</v>
      </c>
      <c r="H63" s="1" t="s">
        <v>182</v>
      </c>
      <c r="I63" s="1" t="s">
        <v>174</v>
      </c>
      <c r="J63" s="1">
        <v>5</v>
      </c>
      <c r="K63" s="14" t="s">
        <v>10</v>
      </c>
      <c r="L63" s="15" t="e">
        <f t="shared" si="30"/>
        <v>#N/A</v>
      </c>
      <c r="M63" s="16">
        <f>SUM($J$6:J63)</f>
        <v>790</v>
      </c>
      <c r="N63" s="17">
        <f t="shared" si="32"/>
        <v>0</v>
      </c>
      <c r="O63" s="18">
        <f t="shared" si="33"/>
        <v>0</v>
      </c>
    </row>
    <row r="64" spans="1:15" x14ac:dyDescent="0.45">
      <c r="A64" s="13"/>
      <c r="B64" s="22" t="e">
        <f t="shared" si="0"/>
        <v>#N/A</v>
      </c>
      <c r="C64" s="23"/>
      <c r="D64" s="1" t="s">
        <v>173</v>
      </c>
      <c r="F64" s="15">
        <v>1.1000000000000001</v>
      </c>
      <c r="G64" s="1" t="s">
        <v>150</v>
      </c>
      <c r="H64" s="1" t="s">
        <v>183</v>
      </c>
      <c r="I64" s="1" t="s">
        <v>174</v>
      </c>
      <c r="J64" s="1">
        <v>19</v>
      </c>
      <c r="K64" s="14" t="s">
        <v>10</v>
      </c>
      <c r="L64" s="15" t="e">
        <f t="shared" si="30"/>
        <v>#N/A</v>
      </c>
      <c r="M64" s="16">
        <f>SUM($J$6:J64)</f>
        <v>809</v>
      </c>
      <c r="N64" s="17">
        <f t="shared" si="32"/>
        <v>0</v>
      </c>
      <c r="O64" s="18">
        <f t="shared" si="33"/>
        <v>0</v>
      </c>
    </row>
    <row r="65" spans="1:15" x14ac:dyDescent="0.45">
      <c r="A65" s="13"/>
      <c r="B65" s="22" t="e">
        <f t="shared" si="0"/>
        <v>#N/A</v>
      </c>
      <c r="C65" s="23"/>
      <c r="D65" s="1" t="s">
        <v>173</v>
      </c>
      <c r="F65" s="1">
        <v>1.1100000000000001</v>
      </c>
      <c r="G65" s="1" t="s">
        <v>151</v>
      </c>
      <c r="H65" s="1" t="s">
        <v>184</v>
      </c>
      <c r="I65" s="1" t="s">
        <v>174</v>
      </c>
      <c r="J65" s="1">
        <v>11</v>
      </c>
      <c r="K65" s="14" t="s">
        <v>10</v>
      </c>
      <c r="L65" s="15" t="e">
        <f t="shared" ref="L65:L66" si="37">VLOOKUP(G65,LessonDaysDouble,3,FALSE)*TargetDays</f>
        <v>#N/A</v>
      </c>
      <c r="M65" s="16">
        <f>SUM($J$6:J65)</f>
        <v>820</v>
      </c>
      <c r="N65" s="17">
        <f t="shared" ref="N65:N66" si="38">SUMIFS(PgCnt,CompFlag,"Yes",ActFDate,"&lt;="&amp;B65)</f>
        <v>0</v>
      </c>
      <c r="O65" s="18">
        <f t="shared" ref="O65:O66" si="39">N65/M65</f>
        <v>0</v>
      </c>
    </row>
    <row r="66" spans="1:15" x14ac:dyDescent="0.45">
      <c r="A66" s="13"/>
      <c r="B66" s="22" t="e">
        <f t="shared" si="0"/>
        <v>#N/A</v>
      </c>
      <c r="C66" s="23"/>
      <c r="D66" s="1" t="s">
        <v>173</v>
      </c>
      <c r="F66" s="1">
        <v>1.1200000000000001</v>
      </c>
      <c r="G66" s="1" t="s">
        <v>148</v>
      </c>
      <c r="H66" s="1" t="s">
        <v>185</v>
      </c>
      <c r="I66" s="1" t="s">
        <v>174</v>
      </c>
      <c r="J66" s="1">
        <v>7</v>
      </c>
      <c r="K66" s="14" t="s">
        <v>10</v>
      </c>
      <c r="L66" s="15" t="e">
        <f t="shared" si="37"/>
        <v>#N/A</v>
      </c>
      <c r="M66" s="16">
        <f>SUM($J$6:J66)</f>
        <v>827</v>
      </c>
      <c r="N66" s="17">
        <f t="shared" si="38"/>
        <v>0</v>
      </c>
      <c r="O66" s="18">
        <f t="shared" si="39"/>
        <v>0</v>
      </c>
    </row>
    <row r="67" spans="1:15" x14ac:dyDescent="0.45">
      <c r="A67" s="13"/>
      <c r="B67" s="30" t="e">
        <f t="shared" si="0"/>
        <v>#N/A</v>
      </c>
      <c r="C67" s="31"/>
      <c r="D67" s="32" t="s">
        <v>173</v>
      </c>
      <c r="E67" s="32"/>
      <c r="F67" s="32"/>
      <c r="G67" s="32" t="s">
        <v>59</v>
      </c>
      <c r="H67" s="32"/>
      <c r="I67" s="32"/>
      <c r="J67" s="32"/>
      <c r="K67" s="33" t="s">
        <v>10</v>
      </c>
      <c r="L67" s="34">
        <f t="shared" si="30"/>
        <v>1.0012248647545168</v>
      </c>
      <c r="M67" s="16">
        <f>SUM($J$6:J67)</f>
        <v>827</v>
      </c>
      <c r="N67" s="17">
        <f t="shared" si="32"/>
        <v>0</v>
      </c>
      <c r="O67" s="18">
        <f t="shared" si="33"/>
        <v>0</v>
      </c>
    </row>
    <row r="68" spans="1:15" x14ac:dyDescent="0.45">
      <c r="A68" s="13"/>
      <c r="B68" s="22" t="e">
        <f t="shared" si="0"/>
        <v>#N/A</v>
      </c>
      <c r="C68" s="23"/>
      <c r="D68" s="1" t="s">
        <v>186</v>
      </c>
      <c r="F68" s="1">
        <v>2.1</v>
      </c>
      <c r="G68" s="1" t="s">
        <v>156</v>
      </c>
      <c r="H68" s="1" t="s">
        <v>189</v>
      </c>
      <c r="I68" s="1" t="s">
        <v>187</v>
      </c>
      <c r="J68" s="1">
        <v>7</v>
      </c>
      <c r="K68" s="14" t="s">
        <v>10</v>
      </c>
      <c r="L68" s="15" t="e">
        <f t="shared" ref="L68:L78" si="40">VLOOKUP(G68,LessonDaysDouble,3,FALSE)*TargetDays</f>
        <v>#N/A</v>
      </c>
      <c r="M68" s="16">
        <f>SUM($J$6:J68)</f>
        <v>834</v>
      </c>
      <c r="N68" s="17">
        <f t="shared" ref="N68:N79" si="41">SUMIFS(PgCnt,CompFlag,"Yes",ActFDate,"&lt;="&amp;B68)</f>
        <v>0</v>
      </c>
      <c r="O68" s="18">
        <f t="shared" ref="O68:O79" si="42">N68/M68</f>
        <v>0</v>
      </c>
    </row>
    <row r="69" spans="1:15" x14ac:dyDescent="0.45">
      <c r="A69" s="13"/>
      <c r="B69" s="22" t="e">
        <f t="shared" si="0"/>
        <v>#N/A</v>
      </c>
      <c r="C69" s="23"/>
      <c r="D69" s="1" t="s">
        <v>186</v>
      </c>
      <c r="F69" s="1">
        <v>2.2000000000000002</v>
      </c>
      <c r="G69" s="1" t="s">
        <v>158</v>
      </c>
      <c r="H69" s="1" t="s">
        <v>190</v>
      </c>
      <c r="I69" s="1" t="s">
        <v>187</v>
      </c>
      <c r="J69" s="1">
        <v>14</v>
      </c>
      <c r="K69" s="14" t="s">
        <v>10</v>
      </c>
      <c r="L69" s="15" t="e">
        <f t="shared" si="40"/>
        <v>#N/A</v>
      </c>
      <c r="M69" s="16">
        <f>SUM($J$6:J69)</f>
        <v>848</v>
      </c>
      <c r="N69" s="17">
        <f t="shared" si="41"/>
        <v>0</v>
      </c>
      <c r="O69" s="18">
        <f t="shared" si="42"/>
        <v>0</v>
      </c>
    </row>
    <row r="70" spans="1:15" x14ac:dyDescent="0.45">
      <c r="A70" s="13"/>
      <c r="B70" s="22" t="e">
        <f t="shared" si="0"/>
        <v>#N/A</v>
      </c>
      <c r="C70" s="23"/>
      <c r="D70" s="1" t="s">
        <v>186</v>
      </c>
      <c r="F70" s="1">
        <v>2.2999999999999998</v>
      </c>
      <c r="G70" s="1" t="s">
        <v>157</v>
      </c>
      <c r="H70" s="1" t="s">
        <v>191</v>
      </c>
      <c r="I70" s="1" t="s">
        <v>187</v>
      </c>
      <c r="J70" s="1">
        <v>7</v>
      </c>
      <c r="K70" s="14" t="s">
        <v>10</v>
      </c>
      <c r="L70" s="15" t="e">
        <f t="shared" si="40"/>
        <v>#N/A</v>
      </c>
      <c r="M70" s="16">
        <f>SUM($J$6:J70)</f>
        <v>855</v>
      </c>
      <c r="N70" s="17">
        <f t="shared" si="41"/>
        <v>0</v>
      </c>
      <c r="O70" s="18">
        <f t="shared" si="42"/>
        <v>0</v>
      </c>
    </row>
    <row r="71" spans="1:15" x14ac:dyDescent="0.45">
      <c r="A71" s="13"/>
      <c r="B71" s="22" t="e">
        <f t="shared" ref="B71:B102" si="43">B70+L71</f>
        <v>#N/A</v>
      </c>
      <c r="C71" s="23"/>
      <c r="D71" s="1" t="s">
        <v>186</v>
      </c>
      <c r="F71" s="1">
        <v>2.4</v>
      </c>
      <c r="G71" s="1" t="s">
        <v>163</v>
      </c>
      <c r="H71" s="1" t="s">
        <v>188</v>
      </c>
      <c r="I71" s="1" t="s">
        <v>187</v>
      </c>
      <c r="J71" s="1">
        <v>20</v>
      </c>
      <c r="K71" s="14" t="s">
        <v>10</v>
      </c>
      <c r="L71" s="15" t="e">
        <f t="shared" si="40"/>
        <v>#N/A</v>
      </c>
      <c r="M71" s="16">
        <f>SUM($J$6:J71)</f>
        <v>875</v>
      </c>
      <c r="N71" s="17">
        <f t="shared" si="41"/>
        <v>0</v>
      </c>
      <c r="O71" s="18">
        <f t="shared" si="42"/>
        <v>0</v>
      </c>
    </row>
    <row r="72" spans="1:15" x14ac:dyDescent="0.45">
      <c r="A72" s="13"/>
      <c r="B72" s="22" t="e">
        <f t="shared" si="43"/>
        <v>#N/A</v>
      </c>
      <c r="C72" s="23"/>
      <c r="D72" s="1" t="s">
        <v>186</v>
      </c>
      <c r="F72" s="1">
        <v>2.5</v>
      </c>
      <c r="G72" s="1" t="s">
        <v>153</v>
      </c>
      <c r="H72" s="1" t="s">
        <v>153</v>
      </c>
      <c r="I72" s="1" t="s">
        <v>187</v>
      </c>
      <c r="J72" s="1">
        <v>4</v>
      </c>
      <c r="K72" s="14" t="s">
        <v>10</v>
      </c>
      <c r="L72" s="15" t="e">
        <f t="shared" si="40"/>
        <v>#N/A</v>
      </c>
      <c r="M72" s="16">
        <f>SUM($J$6:J72)</f>
        <v>879</v>
      </c>
      <c r="N72" s="17">
        <f t="shared" si="41"/>
        <v>0</v>
      </c>
      <c r="O72" s="18">
        <f t="shared" si="42"/>
        <v>0</v>
      </c>
    </row>
    <row r="73" spans="1:15" x14ac:dyDescent="0.45">
      <c r="A73" s="13"/>
      <c r="B73" s="22" t="e">
        <f t="shared" si="43"/>
        <v>#N/A</v>
      </c>
      <c r="C73" s="23"/>
      <c r="D73" s="1" t="s">
        <v>186</v>
      </c>
      <c r="F73" s="1">
        <v>2.6</v>
      </c>
      <c r="G73" s="1" t="s">
        <v>154</v>
      </c>
      <c r="H73" s="1" t="s">
        <v>154</v>
      </c>
      <c r="I73" s="1" t="s">
        <v>187</v>
      </c>
      <c r="J73" s="1">
        <v>2</v>
      </c>
      <c r="K73" s="14" t="s">
        <v>10</v>
      </c>
      <c r="L73" s="15" t="e">
        <f t="shared" si="40"/>
        <v>#N/A</v>
      </c>
      <c r="M73" s="16">
        <f>SUM($J$6:J73)</f>
        <v>881</v>
      </c>
      <c r="N73" s="17">
        <f t="shared" si="41"/>
        <v>0</v>
      </c>
      <c r="O73" s="18">
        <f t="shared" si="42"/>
        <v>0</v>
      </c>
    </row>
    <row r="74" spans="1:15" x14ac:dyDescent="0.45">
      <c r="A74" s="13"/>
      <c r="B74" s="22" t="e">
        <f t="shared" si="43"/>
        <v>#N/A</v>
      </c>
      <c r="C74" s="23"/>
      <c r="D74" s="1" t="s">
        <v>186</v>
      </c>
      <c r="F74" s="1">
        <v>2.7</v>
      </c>
      <c r="G74" s="1" t="s">
        <v>159</v>
      </c>
      <c r="H74" s="1" t="s">
        <v>193</v>
      </c>
      <c r="I74" s="1" t="s">
        <v>187</v>
      </c>
      <c r="J74" s="1">
        <v>4</v>
      </c>
      <c r="K74" s="14" t="s">
        <v>10</v>
      </c>
      <c r="L74" s="15" t="e">
        <f t="shared" si="40"/>
        <v>#N/A</v>
      </c>
      <c r="M74" s="16">
        <f>SUM($J$6:J74)</f>
        <v>885</v>
      </c>
      <c r="N74" s="17">
        <f t="shared" si="41"/>
        <v>0</v>
      </c>
      <c r="O74" s="18">
        <f t="shared" si="42"/>
        <v>0</v>
      </c>
    </row>
    <row r="75" spans="1:15" x14ac:dyDescent="0.45">
      <c r="A75" s="13"/>
      <c r="B75" s="22" t="e">
        <f t="shared" si="43"/>
        <v>#N/A</v>
      </c>
      <c r="C75" s="23"/>
      <c r="D75" s="1" t="s">
        <v>186</v>
      </c>
      <c r="F75" s="1">
        <v>2.8</v>
      </c>
      <c r="G75" s="1" t="s">
        <v>155</v>
      </c>
      <c r="H75" s="1" t="s">
        <v>192</v>
      </c>
      <c r="I75" s="1" t="s">
        <v>187</v>
      </c>
      <c r="J75" s="1">
        <v>51</v>
      </c>
      <c r="K75" s="14" t="s">
        <v>10</v>
      </c>
      <c r="L75" s="15" t="e">
        <f t="shared" si="40"/>
        <v>#N/A</v>
      </c>
      <c r="M75" s="16">
        <f>SUM($J$6:J75)</f>
        <v>936</v>
      </c>
      <c r="N75" s="17">
        <f t="shared" si="41"/>
        <v>0</v>
      </c>
      <c r="O75" s="18">
        <f t="shared" si="42"/>
        <v>0</v>
      </c>
    </row>
    <row r="76" spans="1:15" x14ac:dyDescent="0.45">
      <c r="A76" s="13"/>
      <c r="B76" s="22" t="e">
        <f t="shared" si="43"/>
        <v>#N/A</v>
      </c>
      <c r="C76" s="23"/>
      <c r="D76" s="1" t="s">
        <v>186</v>
      </c>
      <c r="F76" s="1">
        <v>2.9</v>
      </c>
      <c r="G76" s="1" t="s">
        <v>160</v>
      </c>
      <c r="H76" s="1" t="s">
        <v>194</v>
      </c>
      <c r="I76" s="1" t="s">
        <v>187</v>
      </c>
      <c r="J76" s="1">
        <v>4</v>
      </c>
      <c r="K76" s="14" t="s">
        <v>10</v>
      </c>
      <c r="L76" s="15" t="e">
        <f t="shared" si="40"/>
        <v>#N/A</v>
      </c>
      <c r="M76" s="16">
        <f>SUM($J$6:J76)</f>
        <v>940</v>
      </c>
      <c r="N76" s="17">
        <f t="shared" si="41"/>
        <v>0</v>
      </c>
      <c r="O76" s="18">
        <f t="shared" si="42"/>
        <v>0</v>
      </c>
    </row>
    <row r="77" spans="1:15" x14ac:dyDescent="0.45">
      <c r="A77" s="13"/>
      <c r="B77" s="22" t="e">
        <f t="shared" si="43"/>
        <v>#N/A</v>
      </c>
      <c r="C77" s="23"/>
      <c r="D77" s="1" t="s">
        <v>186</v>
      </c>
      <c r="F77" s="15">
        <v>2.1</v>
      </c>
      <c r="G77" s="1" t="s">
        <v>161</v>
      </c>
      <c r="H77" s="1" t="s">
        <v>195</v>
      </c>
      <c r="I77" s="1" t="s">
        <v>187</v>
      </c>
      <c r="J77" s="1">
        <v>8</v>
      </c>
      <c r="K77" s="14" t="s">
        <v>10</v>
      </c>
      <c r="L77" s="15" t="e">
        <f t="shared" si="40"/>
        <v>#N/A</v>
      </c>
      <c r="M77" s="16">
        <f>SUM($J$6:J77)</f>
        <v>948</v>
      </c>
      <c r="N77" s="17">
        <f t="shared" si="41"/>
        <v>0</v>
      </c>
      <c r="O77" s="18">
        <f t="shared" si="42"/>
        <v>0</v>
      </c>
    </row>
    <row r="78" spans="1:15" x14ac:dyDescent="0.45">
      <c r="A78" s="13"/>
      <c r="B78" s="22" t="e">
        <f t="shared" si="43"/>
        <v>#N/A</v>
      </c>
      <c r="C78" s="23"/>
      <c r="D78" s="1" t="s">
        <v>186</v>
      </c>
      <c r="F78" s="15">
        <v>2.11</v>
      </c>
      <c r="G78" s="1" t="s">
        <v>162</v>
      </c>
      <c r="H78" s="1" t="s">
        <v>196</v>
      </c>
      <c r="I78" s="1" t="s">
        <v>187</v>
      </c>
      <c r="J78" s="1">
        <v>10</v>
      </c>
      <c r="K78" s="14" t="s">
        <v>10</v>
      </c>
      <c r="L78" s="15" t="e">
        <f t="shared" si="40"/>
        <v>#N/A</v>
      </c>
      <c r="M78" s="16">
        <f>SUM($J$6:J78)</f>
        <v>958</v>
      </c>
      <c r="N78" s="17">
        <f t="shared" si="41"/>
        <v>0</v>
      </c>
      <c r="O78" s="18">
        <f t="shared" si="42"/>
        <v>0</v>
      </c>
    </row>
    <row r="79" spans="1:15" x14ac:dyDescent="0.45">
      <c r="A79" s="13"/>
      <c r="B79" s="30" t="e">
        <f t="shared" si="43"/>
        <v>#N/A</v>
      </c>
      <c r="C79" s="31"/>
      <c r="D79" s="32" t="s">
        <v>186</v>
      </c>
      <c r="E79" s="32"/>
      <c r="F79" s="32"/>
      <c r="G79" s="32" t="s">
        <v>60</v>
      </c>
      <c r="H79" s="32"/>
      <c r="I79" s="32"/>
      <c r="J79" s="32"/>
      <c r="K79" s="33" t="s">
        <v>10</v>
      </c>
      <c r="L79" s="34">
        <f t="shared" ref="L79" si="44">VLOOKUP(G79,LessonDaysDouble,3,FALSE)*TargetDays</f>
        <v>1.0012248647545168</v>
      </c>
      <c r="M79" s="16">
        <f>SUM($J$6:J79)</f>
        <v>958</v>
      </c>
      <c r="N79" s="17">
        <f t="shared" si="41"/>
        <v>0</v>
      </c>
      <c r="O79" s="18">
        <f t="shared" si="42"/>
        <v>0</v>
      </c>
    </row>
    <row r="80" spans="1:15" x14ac:dyDescent="0.45">
      <c r="A80" s="13"/>
      <c r="B80" s="22" t="e">
        <f t="shared" si="43"/>
        <v>#N/A</v>
      </c>
      <c r="C80" s="23"/>
      <c r="D80" s="1" t="s">
        <v>172</v>
      </c>
      <c r="F80" s="1">
        <v>3.1</v>
      </c>
      <c r="G80" s="1" t="s">
        <v>95</v>
      </c>
      <c r="H80" s="1" t="s">
        <v>94</v>
      </c>
      <c r="I80" s="1" t="s">
        <v>93</v>
      </c>
      <c r="J80" s="1">
        <v>37</v>
      </c>
      <c r="K80" s="14" t="s">
        <v>10</v>
      </c>
      <c r="L80" s="15" t="e">
        <f t="shared" si="30"/>
        <v>#N/A</v>
      </c>
      <c r="M80" s="16">
        <f>SUM($J$6:J80)</f>
        <v>995</v>
      </c>
      <c r="N80" s="17">
        <f t="shared" si="32"/>
        <v>0</v>
      </c>
      <c r="O80" s="18">
        <f t="shared" si="33"/>
        <v>0</v>
      </c>
    </row>
    <row r="81" spans="1:15" x14ac:dyDescent="0.45">
      <c r="A81" s="13"/>
      <c r="B81" s="22" t="e">
        <f t="shared" si="43"/>
        <v>#N/A</v>
      </c>
      <c r="C81" s="23"/>
      <c r="D81" s="1" t="s">
        <v>172</v>
      </c>
      <c r="F81" s="1">
        <v>3.2</v>
      </c>
      <c r="G81" s="1" t="s">
        <v>96</v>
      </c>
      <c r="H81" s="1" t="s">
        <v>105</v>
      </c>
      <c r="I81" s="1" t="s">
        <v>93</v>
      </c>
      <c r="J81" s="1">
        <v>21</v>
      </c>
      <c r="K81" s="14" t="s">
        <v>10</v>
      </c>
      <c r="L81" s="15" t="e">
        <f t="shared" si="30"/>
        <v>#N/A</v>
      </c>
      <c r="M81" s="16">
        <f>SUM($J$6:J81)</f>
        <v>1016</v>
      </c>
      <c r="N81" s="17">
        <f t="shared" si="32"/>
        <v>0</v>
      </c>
      <c r="O81" s="18">
        <f t="shared" si="33"/>
        <v>0</v>
      </c>
    </row>
    <row r="82" spans="1:15" x14ac:dyDescent="0.45">
      <c r="A82" s="13"/>
      <c r="B82" s="22" t="e">
        <f t="shared" si="43"/>
        <v>#N/A</v>
      </c>
      <c r="C82" s="23"/>
      <c r="D82" s="1" t="s">
        <v>172</v>
      </c>
      <c r="F82" s="1">
        <v>3.3</v>
      </c>
      <c r="G82" s="1" t="s">
        <v>97</v>
      </c>
      <c r="H82" s="1" t="s">
        <v>106</v>
      </c>
      <c r="I82" s="1" t="s">
        <v>93</v>
      </c>
      <c r="J82" s="1">
        <v>15</v>
      </c>
      <c r="K82" s="14" t="s">
        <v>10</v>
      </c>
      <c r="L82" s="15" t="e">
        <f t="shared" si="30"/>
        <v>#N/A</v>
      </c>
      <c r="M82" s="16">
        <f>SUM($J$6:J82)</f>
        <v>1031</v>
      </c>
      <c r="N82" s="17">
        <f t="shared" si="32"/>
        <v>0</v>
      </c>
      <c r="O82" s="18">
        <f t="shared" si="33"/>
        <v>0</v>
      </c>
    </row>
    <row r="83" spans="1:15" x14ac:dyDescent="0.45">
      <c r="A83" s="13"/>
      <c r="B83" s="22" t="e">
        <f t="shared" si="43"/>
        <v>#N/A</v>
      </c>
      <c r="C83" s="23"/>
      <c r="D83" s="1" t="s">
        <v>172</v>
      </c>
      <c r="F83" s="1">
        <v>3.4</v>
      </c>
      <c r="G83" s="1" t="s">
        <v>98</v>
      </c>
      <c r="H83" s="1" t="s">
        <v>107</v>
      </c>
      <c r="I83" s="1" t="s">
        <v>93</v>
      </c>
      <c r="J83" s="1">
        <v>17</v>
      </c>
      <c r="K83" s="14" t="s">
        <v>10</v>
      </c>
      <c r="L83" s="15" t="e">
        <f t="shared" si="30"/>
        <v>#N/A</v>
      </c>
      <c r="M83" s="16">
        <f>SUM($J$6:J83)</f>
        <v>1048</v>
      </c>
      <c r="N83" s="17">
        <f t="shared" si="32"/>
        <v>0</v>
      </c>
      <c r="O83" s="18">
        <f t="shared" si="33"/>
        <v>0</v>
      </c>
    </row>
    <row r="84" spans="1:15" x14ac:dyDescent="0.45">
      <c r="A84" s="13"/>
      <c r="B84" s="22" t="e">
        <f t="shared" si="43"/>
        <v>#N/A</v>
      </c>
      <c r="C84" s="23"/>
      <c r="D84" s="1" t="s">
        <v>172</v>
      </c>
      <c r="F84" s="1">
        <v>3.5</v>
      </c>
      <c r="G84" s="1" t="s">
        <v>99</v>
      </c>
      <c r="H84" s="1" t="s">
        <v>108</v>
      </c>
      <c r="I84" s="1" t="s">
        <v>93</v>
      </c>
      <c r="J84" s="1">
        <v>25</v>
      </c>
      <c r="K84" s="14" t="s">
        <v>10</v>
      </c>
      <c r="L84" s="15" t="e">
        <f t="shared" si="30"/>
        <v>#N/A</v>
      </c>
      <c r="M84" s="16">
        <f>SUM($J$6:J84)</f>
        <v>1073</v>
      </c>
      <c r="N84" s="17">
        <f t="shared" si="32"/>
        <v>0</v>
      </c>
      <c r="O84" s="18">
        <f t="shared" si="33"/>
        <v>0</v>
      </c>
    </row>
    <row r="85" spans="1:15" x14ac:dyDescent="0.45">
      <c r="A85" s="13"/>
      <c r="B85" s="22" t="e">
        <f t="shared" si="43"/>
        <v>#N/A</v>
      </c>
      <c r="C85" s="23"/>
      <c r="D85" s="1" t="s">
        <v>172</v>
      </c>
      <c r="F85" s="1">
        <v>3.6</v>
      </c>
      <c r="G85" s="1" t="s">
        <v>100</v>
      </c>
      <c r="H85" s="1" t="s">
        <v>109</v>
      </c>
      <c r="I85" s="1" t="s">
        <v>93</v>
      </c>
      <c r="J85" s="1">
        <v>19</v>
      </c>
      <c r="K85" s="14" t="s">
        <v>10</v>
      </c>
      <c r="L85" s="15" t="e">
        <f t="shared" si="30"/>
        <v>#N/A</v>
      </c>
      <c r="M85" s="16">
        <f>SUM($J$6:J85)</f>
        <v>1092</v>
      </c>
      <c r="N85" s="17">
        <f t="shared" si="32"/>
        <v>0</v>
      </c>
      <c r="O85" s="18">
        <f t="shared" si="33"/>
        <v>0</v>
      </c>
    </row>
    <row r="86" spans="1:15" x14ac:dyDescent="0.45">
      <c r="A86" s="13"/>
      <c r="B86" s="22" t="e">
        <f t="shared" si="43"/>
        <v>#N/A</v>
      </c>
      <c r="C86" s="23"/>
      <c r="D86" s="1" t="s">
        <v>172</v>
      </c>
      <c r="F86" s="1">
        <v>3.7</v>
      </c>
      <c r="G86" s="48" t="s">
        <v>164</v>
      </c>
      <c r="H86" s="1" t="s">
        <v>197</v>
      </c>
      <c r="I86" s="1" t="s">
        <v>93</v>
      </c>
      <c r="J86" s="1">
        <v>16</v>
      </c>
      <c r="K86" s="14" t="s">
        <v>10</v>
      </c>
      <c r="L86" s="15" t="e">
        <f t="shared" si="30"/>
        <v>#N/A</v>
      </c>
      <c r="M86" s="16">
        <f>SUM($J$6:J86)</f>
        <v>1108</v>
      </c>
      <c r="N86" s="17">
        <f t="shared" si="32"/>
        <v>0</v>
      </c>
      <c r="O86" s="18">
        <f t="shared" si="33"/>
        <v>0</v>
      </c>
    </row>
    <row r="87" spans="1:15" x14ac:dyDescent="0.45">
      <c r="A87" s="13"/>
      <c r="B87" s="22" t="e">
        <f t="shared" si="43"/>
        <v>#N/A</v>
      </c>
      <c r="C87" s="23"/>
      <c r="D87" s="1" t="s">
        <v>172</v>
      </c>
      <c r="F87" s="1">
        <v>3.8</v>
      </c>
      <c r="G87" s="1" t="s">
        <v>115</v>
      </c>
      <c r="H87" s="1" t="s">
        <v>115</v>
      </c>
      <c r="I87" s="1" t="s">
        <v>93</v>
      </c>
      <c r="J87" s="1">
        <v>4</v>
      </c>
      <c r="K87" s="14" t="s">
        <v>10</v>
      </c>
      <c r="L87" s="15" t="e">
        <f t="shared" ref="L87:L89" si="45">VLOOKUP(G87,LessonDaysDouble,3,FALSE)*TargetDays</f>
        <v>#N/A</v>
      </c>
      <c r="M87" s="16">
        <f>SUM($J$6:J87)</f>
        <v>1112</v>
      </c>
      <c r="N87" s="17">
        <f t="shared" ref="N87:N89" si="46">SUMIFS(PgCnt,CompFlag,"Yes",ActFDate,"&lt;="&amp;B87)</f>
        <v>0</v>
      </c>
      <c r="O87" s="18">
        <f t="shared" ref="O87:O89" si="47">N87/M87</f>
        <v>0</v>
      </c>
    </row>
    <row r="88" spans="1:15" x14ac:dyDescent="0.45">
      <c r="A88" s="13"/>
      <c r="B88" s="22" t="e">
        <f t="shared" si="43"/>
        <v>#N/A</v>
      </c>
      <c r="C88" s="23"/>
      <c r="D88" s="1" t="s">
        <v>172</v>
      </c>
      <c r="F88" s="1">
        <v>3.9</v>
      </c>
      <c r="G88" t="s">
        <v>165</v>
      </c>
      <c r="H88" t="s">
        <v>198</v>
      </c>
      <c r="I88" s="1" t="s">
        <v>93</v>
      </c>
      <c r="J88" s="1">
        <v>8</v>
      </c>
      <c r="K88" s="14" t="s">
        <v>10</v>
      </c>
      <c r="L88" s="15" t="e">
        <f t="shared" si="45"/>
        <v>#N/A</v>
      </c>
      <c r="M88" s="16">
        <f>SUM($J$6:J88)</f>
        <v>1120</v>
      </c>
      <c r="N88" s="17">
        <f t="shared" si="46"/>
        <v>0</v>
      </c>
      <c r="O88" s="18">
        <f t="shared" si="47"/>
        <v>0</v>
      </c>
    </row>
    <row r="89" spans="1:15" x14ac:dyDescent="0.45">
      <c r="A89" s="13"/>
      <c r="B89" s="22" t="e">
        <f t="shared" si="43"/>
        <v>#N/A</v>
      </c>
      <c r="C89" s="23"/>
      <c r="D89" s="1" t="s">
        <v>172</v>
      </c>
      <c r="F89" s="15">
        <v>3.1</v>
      </c>
      <c r="G89" t="s">
        <v>166</v>
      </c>
      <c r="H89" t="s">
        <v>199</v>
      </c>
      <c r="I89" s="1" t="s">
        <v>93</v>
      </c>
      <c r="J89" s="1">
        <v>3</v>
      </c>
      <c r="K89" s="14" t="s">
        <v>10</v>
      </c>
      <c r="L89" s="15" t="e">
        <f t="shared" si="45"/>
        <v>#N/A</v>
      </c>
      <c r="M89" s="16">
        <f>SUM($J$6:J89)</f>
        <v>1123</v>
      </c>
      <c r="N89" s="17">
        <f t="shared" si="46"/>
        <v>0</v>
      </c>
      <c r="O89" s="18">
        <f t="shared" si="47"/>
        <v>0</v>
      </c>
    </row>
    <row r="90" spans="1:15" x14ac:dyDescent="0.45">
      <c r="A90" s="13"/>
      <c r="B90" s="30" t="e">
        <f t="shared" si="43"/>
        <v>#N/A</v>
      </c>
      <c r="C90" s="31"/>
      <c r="D90" s="32" t="s">
        <v>172</v>
      </c>
      <c r="E90" s="32"/>
      <c r="F90" s="32"/>
      <c r="G90" s="32" t="s">
        <v>61</v>
      </c>
      <c r="H90" s="32"/>
      <c r="I90" s="32"/>
      <c r="J90" s="32"/>
      <c r="K90" s="33" t="s">
        <v>10</v>
      </c>
      <c r="L90" s="34">
        <f t="shared" si="30"/>
        <v>1.0012248647545168</v>
      </c>
      <c r="M90" s="16">
        <f>SUM($J$6:J90)</f>
        <v>1123</v>
      </c>
      <c r="N90" s="17">
        <f t="shared" si="32"/>
        <v>0</v>
      </c>
      <c r="O90" s="18">
        <f t="shared" si="33"/>
        <v>0</v>
      </c>
    </row>
    <row r="91" spans="1:15" x14ac:dyDescent="0.45">
      <c r="A91" s="13"/>
      <c r="B91" s="22" t="e">
        <f t="shared" si="43"/>
        <v>#N/A</v>
      </c>
      <c r="C91" s="23"/>
      <c r="D91" s="1" t="s">
        <v>171</v>
      </c>
      <c r="F91" s="1">
        <v>4.0999999999999996</v>
      </c>
      <c r="G91" t="s">
        <v>87</v>
      </c>
      <c r="H91" s="1" t="s">
        <v>50</v>
      </c>
      <c r="I91" s="1" t="s">
        <v>63</v>
      </c>
      <c r="J91" s="1">
        <v>12</v>
      </c>
      <c r="K91" s="14" t="s">
        <v>10</v>
      </c>
      <c r="L91" s="15" t="e">
        <f t="shared" si="30"/>
        <v>#N/A</v>
      </c>
      <c r="M91" s="16">
        <f>SUM($J$6:J91)</f>
        <v>1135</v>
      </c>
      <c r="N91" s="17">
        <f t="shared" si="32"/>
        <v>0</v>
      </c>
      <c r="O91" s="18">
        <f t="shared" si="33"/>
        <v>0</v>
      </c>
    </row>
    <row r="92" spans="1:15" x14ac:dyDescent="0.45">
      <c r="A92" s="13"/>
      <c r="B92" s="22" t="e">
        <f t="shared" si="43"/>
        <v>#N/A</v>
      </c>
      <c r="C92" s="23"/>
      <c r="D92" s="1" t="s">
        <v>171</v>
      </c>
      <c r="F92" s="1">
        <v>4.2</v>
      </c>
      <c r="G92" s="1" t="s">
        <v>167</v>
      </c>
      <c r="H92" s="1" t="s">
        <v>62</v>
      </c>
      <c r="I92" s="1" t="s">
        <v>63</v>
      </c>
      <c r="J92" s="1">
        <v>7</v>
      </c>
      <c r="K92" s="14" t="s">
        <v>10</v>
      </c>
      <c r="L92" s="15" t="e">
        <f t="shared" ref="L92:L101" si="48">VLOOKUP(G92,LessonDaysDouble,3,FALSE)*TargetDays</f>
        <v>#N/A</v>
      </c>
      <c r="M92" s="16">
        <f>SUM($J$6:J92)</f>
        <v>1142</v>
      </c>
      <c r="N92" s="17">
        <f t="shared" ref="N92:N98" si="49">SUMIFS(PgCnt,CompFlag,"Yes",ActFDate,"&lt;="&amp;B92)</f>
        <v>0</v>
      </c>
      <c r="O92" s="18">
        <f t="shared" ref="O92:O98" si="50">N92/M92</f>
        <v>0</v>
      </c>
    </row>
    <row r="93" spans="1:15" x14ac:dyDescent="0.45">
      <c r="A93" s="13"/>
      <c r="B93" s="22" t="e">
        <f t="shared" si="43"/>
        <v>#N/A</v>
      </c>
      <c r="C93" s="23"/>
      <c r="D93" s="1" t="s">
        <v>171</v>
      </c>
      <c r="F93" s="1">
        <v>4.3</v>
      </c>
      <c r="G93" t="s">
        <v>58</v>
      </c>
      <c r="H93" s="1" t="s">
        <v>50</v>
      </c>
      <c r="I93" s="1" t="s">
        <v>63</v>
      </c>
      <c r="J93" s="1">
        <v>20</v>
      </c>
      <c r="K93" s="14" t="s">
        <v>10</v>
      </c>
      <c r="L93" s="15" t="e">
        <f t="shared" si="48"/>
        <v>#N/A</v>
      </c>
      <c r="M93" s="16">
        <f>SUM($J$6:J93)</f>
        <v>1162</v>
      </c>
      <c r="N93" s="17">
        <f t="shared" si="49"/>
        <v>0</v>
      </c>
      <c r="O93" s="18">
        <f t="shared" si="50"/>
        <v>0</v>
      </c>
    </row>
    <row r="94" spans="1:15" x14ac:dyDescent="0.45">
      <c r="A94" s="13"/>
      <c r="B94" s="22" t="e">
        <f t="shared" si="43"/>
        <v>#N/A</v>
      </c>
      <c r="C94" s="23"/>
      <c r="D94" s="1" t="s">
        <v>171</v>
      </c>
      <c r="F94" s="1">
        <v>4.4000000000000004</v>
      </c>
      <c r="G94" t="s">
        <v>91</v>
      </c>
      <c r="H94" s="1" t="s">
        <v>92</v>
      </c>
      <c r="I94" s="1" t="s">
        <v>63</v>
      </c>
      <c r="J94" s="1">
        <v>22</v>
      </c>
      <c r="K94" s="14" t="s">
        <v>10</v>
      </c>
      <c r="L94" s="15" t="e">
        <f t="shared" si="48"/>
        <v>#N/A</v>
      </c>
      <c r="M94" s="16">
        <f>SUM($J$6:J94)</f>
        <v>1184</v>
      </c>
      <c r="N94" s="17">
        <f t="shared" si="49"/>
        <v>0</v>
      </c>
      <c r="O94" s="18">
        <f t="shared" si="50"/>
        <v>0</v>
      </c>
    </row>
    <row r="95" spans="1:15" x14ac:dyDescent="0.45">
      <c r="A95" s="13"/>
      <c r="B95" s="22" t="e">
        <f t="shared" si="43"/>
        <v>#N/A</v>
      </c>
      <c r="C95" s="23"/>
      <c r="D95" s="1" t="s">
        <v>171</v>
      </c>
      <c r="F95" s="1">
        <v>4.5</v>
      </c>
      <c r="G95" s="1" t="s">
        <v>168</v>
      </c>
      <c r="H95" s="1" t="s">
        <v>201</v>
      </c>
      <c r="I95" s="1" t="s">
        <v>63</v>
      </c>
      <c r="J95" s="1">
        <v>33</v>
      </c>
      <c r="K95" s="14" t="s">
        <v>10</v>
      </c>
      <c r="L95" s="15" t="e">
        <f t="shared" si="48"/>
        <v>#N/A</v>
      </c>
      <c r="M95" s="16">
        <f>SUM($J$6:J95)</f>
        <v>1217</v>
      </c>
      <c r="N95" s="17">
        <f t="shared" si="49"/>
        <v>0</v>
      </c>
      <c r="O95" s="18">
        <f t="shared" si="50"/>
        <v>0</v>
      </c>
    </row>
    <row r="96" spans="1:15" x14ac:dyDescent="0.45">
      <c r="A96" s="13"/>
      <c r="B96" s="22" t="e">
        <f t="shared" si="43"/>
        <v>#N/A</v>
      </c>
      <c r="C96" s="23"/>
      <c r="D96" s="1" t="s">
        <v>171</v>
      </c>
      <c r="F96" s="1">
        <v>4.5999999999999996</v>
      </c>
      <c r="G96" s="1" t="s">
        <v>135</v>
      </c>
      <c r="H96" s="1" t="s">
        <v>136</v>
      </c>
      <c r="I96" s="1" t="s">
        <v>63</v>
      </c>
      <c r="J96" s="1">
        <v>7</v>
      </c>
      <c r="K96" s="14" t="s">
        <v>10</v>
      </c>
      <c r="L96" s="15" t="e">
        <f t="shared" si="48"/>
        <v>#N/A</v>
      </c>
      <c r="M96" s="16">
        <f>SUM($J$6:J96)</f>
        <v>1224</v>
      </c>
      <c r="N96" s="17">
        <f t="shared" si="49"/>
        <v>0</v>
      </c>
      <c r="O96" s="18">
        <f t="shared" si="50"/>
        <v>0</v>
      </c>
    </row>
    <row r="97" spans="1:15" x14ac:dyDescent="0.45">
      <c r="A97" s="13"/>
      <c r="B97" s="22" t="e">
        <f t="shared" si="43"/>
        <v>#N/A</v>
      </c>
      <c r="C97" s="23"/>
      <c r="D97" s="1" t="s">
        <v>171</v>
      </c>
      <c r="F97" s="1">
        <v>4.7</v>
      </c>
      <c r="G97" s="1" t="s">
        <v>116</v>
      </c>
      <c r="H97" s="1" t="s">
        <v>117</v>
      </c>
      <c r="I97" s="1" t="s">
        <v>63</v>
      </c>
      <c r="J97" s="1">
        <v>19</v>
      </c>
      <c r="K97" s="14" t="s">
        <v>10</v>
      </c>
      <c r="L97" s="15" t="e">
        <f t="shared" si="48"/>
        <v>#N/A</v>
      </c>
      <c r="M97" s="16">
        <f>SUM($J$6:J97)</f>
        <v>1243</v>
      </c>
      <c r="N97" s="17">
        <f t="shared" si="49"/>
        <v>0</v>
      </c>
      <c r="O97" s="18">
        <f t="shared" si="50"/>
        <v>0</v>
      </c>
    </row>
    <row r="98" spans="1:15" x14ac:dyDescent="0.45">
      <c r="A98" s="13"/>
      <c r="B98" s="22" t="e">
        <f t="shared" si="43"/>
        <v>#N/A</v>
      </c>
      <c r="C98" s="23"/>
      <c r="D98" s="1" t="s">
        <v>171</v>
      </c>
      <c r="F98" s="1">
        <v>4.8</v>
      </c>
      <c r="G98" s="1" t="s">
        <v>103</v>
      </c>
      <c r="H98" s="1" t="s">
        <v>104</v>
      </c>
      <c r="I98" s="1" t="s">
        <v>63</v>
      </c>
      <c r="J98" s="1">
        <v>12</v>
      </c>
      <c r="K98" s="14" t="s">
        <v>10</v>
      </c>
      <c r="L98" s="15" t="e">
        <f t="shared" si="48"/>
        <v>#N/A</v>
      </c>
      <c r="M98" s="16">
        <f>SUM($J$6:J98)</f>
        <v>1255</v>
      </c>
      <c r="N98" s="17">
        <f t="shared" si="49"/>
        <v>0</v>
      </c>
      <c r="O98" s="18">
        <f t="shared" si="50"/>
        <v>0</v>
      </c>
    </row>
    <row r="99" spans="1:15" x14ac:dyDescent="0.45">
      <c r="A99" s="13"/>
      <c r="B99" s="22" t="e">
        <f t="shared" si="43"/>
        <v>#N/A</v>
      </c>
      <c r="C99" s="23"/>
      <c r="D99" s="1" t="s">
        <v>171</v>
      </c>
      <c r="F99" s="1">
        <v>4.9000000000000004</v>
      </c>
      <c r="G99" s="1" t="s">
        <v>169</v>
      </c>
      <c r="H99" s="1" t="s">
        <v>200</v>
      </c>
      <c r="I99" s="1" t="s">
        <v>63</v>
      </c>
      <c r="J99" s="1">
        <v>24</v>
      </c>
      <c r="K99" s="14" t="s">
        <v>10</v>
      </c>
      <c r="L99" s="15" t="e">
        <f t="shared" si="48"/>
        <v>#N/A</v>
      </c>
      <c r="M99" s="16">
        <f>SUM($J$6:J99)</f>
        <v>1279</v>
      </c>
      <c r="N99" s="17">
        <f t="shared" ref="N99:N101" si="51">SUMIFS(PgCnt,CompFlag,"Yes",ActFDate,"&lt;="&amp;B99)</f>
        <v>0</v>
      </c>
      <c r="O99" s="18">
        <f t="shared" ref="O99:O101" si="52">N99/M99</f>
        <v>0</v>
      </c>
    </row>
    <row r="100" spans="1:15" x14ac:dyDescent="0.45">
      <c r="A100" s="13"/>
      <c r="B100" s="22" t="e">
        <f t="shared" si="43"/>
        <v>#N/A</v>
      </c>
      <c r="C100" s="23"/>
      <c r="D100" s="1" t="s">
        <v>171</v>
      </c>
      <c r="F100" s="15">
        <v>4.0999999999999996</v>
      </c>
      <c r="G100" s="1" t="s">
        <v>83</v>
      </c>
      <c r="H100" s="1" t="s">
        <v>86</v>
      </c>
      <c r="I100" s="1" t="s">
        <v>63</v>
      </c>
      <c r="J100" s="1">
        <v>8</v>
      </c>
      <c r="K100" s="14" t="s">
        <v>10</v>
      </c>
      <c r="L100" s="15">
        <f t="shared" si="48"/>
        <v>0.50061243237725839</v>
      </c>
      <c r="M100" s="16">
        <f>SUM($J$6:J100)</f>
        <v>1287</v>
      </c>
      <c r="N100" s="17">
        <f t="shared" si="51"/>
        <v>0</v>
      </c>
      <c r="O100" s="18">
        <f t="shared" si="52"/>
        <v>0</v>
      </c>
    </row>
    <row r="101" spans="1:15" x14ac:dyDescent="0.45">
      <c r="A101" s="13"/>
      <c r="B101" s="22" t="e">
        <f t="shared" si="43"/>
        <v>#N/A</v>
      </c>
      <c r="C101" s="23"/>
      <c r="D101" s="1" t="s">
        <v>171</v>
      </c>
      <c r="F101" s="1">
        <v>4.1100000000000003</v>
      </c>
      <c r="G101" s="1" t="s">
        <v>84</v>
      </c>
      <c r="H101" s="1" t="s">
        <v>85</v>
      </c>
      <c r="I101" s="1" t="s">
        <v>63</v>
      </c>
      <c r="J101" s="1">
        <v>11</v>
      </c>
      <c r="K101" s="14" t="s">
        <v>10</v>
      </c>
      <c r="L101" s="15">
        <f t="shared" si="48"/>
        <v>0.50061243237725839</v>
      </c>
      <c r="M101" s="16">
        <f>SUM($J$6:J101)</f>
        <v>1298</v>
      </c>
      <c r="N101" s="17">
        <f t="shared" si="51"/>
        <v>0</v>
      </c>
      <c r="O101" s="18">
        <f t="shared" si="52"/>
        <v>0</v>
      </c>
    </row>
    <row r="102" spans="1:15" x14ac:dyDescent="0.45">
      <c r="A102" s="13"/>
      <c r="B102" s="30" t="e">
        <f t="shared" si="43"/>
        <v>#N/A</v>
      </c>
      <c r="C102" s="31"/>
      <c r="D102" s="32" t="s">
        <v>171</v>
      </c>
      <c r="E102" s="32"/>
      <c r="F102" s="32"/>
      <c r="G102" s="32" t="s">
        <v>170</v>
      </c>
      <c r="H102" s="32"/>
      <c r="I102" s="32"/>
      <c r="J102" s="32"/>
      <c r="K102" s="33" t="s">
        <v>10</v>
      </c>
      <c r="L102" s="34">
        <f t="shared" ref="L102" si="53">VLOOKUP(G102,LessonDaysDouble,3,FALSE)*TargetDays</f>
        <v>1.0012248647545168</v>
      </c>
      <c r="M102" s="16">
        <f>SUM($J$6:J102)</f>
        <v>1298</v>
      </c>
      <c r="N102" s="17">
        <f t="shared" si="32"/>
        <v>0</v>
      </c>
      <c r="O102" s="18">
        <f t="shared" si="33"/>
        <v>0</v>
      </c>
    </row>
    <row r="103" spans="1:15" x14ac:dyDescent="0.45">
      <c r="B103" s="22"/>
      <c r="C103" s="22"/>
      <c r="H103" s="1"/>
      <c r="K103" s="14"/>
      <c r="L103" s="15"/>
      <c r="M103" s="19"/>
      <c r="N103" s="19"/>
      <c r="O103" s="29"/>
    </row>
    <row r="104" spans="1:15" x14ac:dyDescent="0.45">
      <c r="B104" s="40" t="s">
        <v>46</v>
      </c>
      <c r="C104" s="22"/>
      <c r="D104" s="35" t="str">
        <f>Schedule!D55</f>
        <v>Make sure you are registered for the exam through the SOA as soon as possible! (deadline is October 13)</v>
      </c>
      <c r="L104" s="15"/>
    </row>
    <row r="105" spans="1:15" x14ac:dyDescent="0.45">
      <c r="B105" s="40"/>
      <c r="C105" s="22"/>
      <c r="D105" s="35" t="str">
        <f>Schedule!D56</f>
        <v>After you register with the SOA, you will then have to register with the computer center, Prometric.  Spots may fill up, so do this ASAP!</v>
      </c>
      <c r="L105" s="15"/>
    </row>
    <row r="106" spans="1:15" x14ac:dyDescent="0.45">
      <c r="B106" s="22"/>
      <c r="C106" s="22"/>
      <c r="D106" s="41" t="s">
        <v>64</v>
      </c>
      <c r="H106" s="1"/>
      <c r="L106" s="15"/>
    </row>
    <row r="107" spans="1:15" x14ac:dyDescent="0.45">
      <c r="B107" s="43"/>
      <c r="C107" s="22"/>
      <c r="D107" s="38"/>
      <c r="H107" s="1"/>
      <c r="L107" s="15"/>
    </row>
    <row r="108" spans="1:15" x14ac:dyDescent="0.45">
      <c r="B108" s="22">
        <f>Schedule!B59</f>
        <v>46305</v>
      </c>
      <c r="C108" s="22" t="s">
        <v>69</v>
      </c>
      <c r="D108" s="24" t="s">
        <v>70</v>
      </c>
      <c r="H108" s="1"/>
      <c r="L108" s="15"/>
    </row>
    <row r="109" spans="1:15" x14ac:dyDescent="0.45">
      <c r="B109" s="22">
        <f>Schedule!B60</f>
        <v>46319</v>
      </c>
      <c r="C109" s="22"/>
      <c r="D109" s="25" t="s">
        <v>71</v>
      </c>
      <c r="H109" s="1"/>
      <c r="L109" s="15"/>
    </row>
    <row r="110" spans="1:15" x14ac:dyDescent="0.45">
      <c r="B110" s="22"/>
      <c r="C110" s="22"/>
      <c r="D110" s="26"/>
      <c r="H110" s="1"/>
      <c r="L110" s="15"/>
    </row>
    <row r="111" spans="1:15" x14ac:dyDescent="0.45">
      <c r="B111" s="22">
        <f>Schedule!B62</f>
        <v>46328</v>
      </c>
      <c r="C111" s="22" t="s">
        <v>69</v>
      </c>
      <c r="D111" s="24" t="s">
        <v>72</v>
      </c>
      <c r="H111" s="1"/>
      <c r="L111" s="15"/>
    </row>
    <row r="112" spans="1:15" x14ac:dyDescent="0.45">
      <c r="B112" s="22">
        <f>Schedule!B63</f>
        <v>46342</v>
      </c>
      <c r="C112" s="22"/>
      <c r="D112" s="25" t="s">
        <v>22</v>
      </c>
      <c r="H112" s="1"/>
      <c r="L112" s="15"/>
    </row>
    <row r="113" spans="2:12" x14ac:dyDescent="0.45">
      <c r="B113" s="22"/>
      <c r="C113" s="22"/>
      <c r="D113" s="25" t="s">
        <v>137</v>
      </c>
      <c r="H113" s="1"/>
      <c r="L113" s="15"/>
    </row>
    <row r="114" spans="2:12" x14ac:dyDescent="0.45">
      <c r="B114" s="22"/>
      <c r="C114" s="22"/>
      <c r="D114" s="25" t="s">
        <v>68</v>
      </c>
      <c r="H114" s="1"/>
      <c r="L114" s="15"/>
    </row>
    <row r="115" spans="2:12" x14ac:dyDescent="0.45">
      <c r="B115" s="22"/>
      <c r="C115" s="22"/>
      <c r="D115" s="25" t="s">
        <v>17</v>
      </c>
      <c r="H115" s="1"/>
      <c r="L115" s="15"/>
    </row>
    <row r="116" spans="2:12" x14ac:dyDescent="0.45">
      <c r="B116" s="22"/>
      <c r="C116" s="22"/>
      <c r="D116" s="25" t="s">
        <v>73</v>
      </c>
      <c r="H116" s="1"/>
      <c r="L116" s="15"/>
    </row>
    <row r="117" spans="2:12" x14ac:dyDescent="0.45">
      <c r="B117" s="22"/>
      <c r="C117" s="22"/>
      <c r="D117" s="25"/>
      <c r="H117" s="1"/>
      <c r="L117" s="15"/>
    </row>
    <row r="118" spans="2:12" x14ac:dyDescent="0.45">
      <c r="B118" s="22">
        <f>Schedule!B69</f>
        <v>46328</v>
      </c>
      <c r="C118" s="22"/>
      <c r="D118" s="24" t="s">
        <v>138</v>
      </c>
      <c r="H118" s="1"/>
      <c r="L118" s="15"/>
    </row>
    <row r="119" spans="2:12" x14ac:dyDescent="0.45">
      <c r="B119" s="22"/>
      <c r="C119" s="22"/>
      <c r="D119" s="25"/>
      <c r="H119" s="1"/>
      <c r="L119" s="15"/>
    </row>
    <row r="120" spans="2:12" x14ac:dyDescent="0.45">
      <c r="B120" s="22">
        <f>Schedule!B71</f>
        <v>46305</v>
      </c>
      <c r="C120" s="22" t="s">
        <v>69</v>
      </c>
      <c r="D120" s="28" t="s">
        <v>24</v>
      </c>
      <c r="H120" s="1"/>
      <c r="L120" s="15"/>
    </row>
    <row r="121" spans="2:12" x14ac:dyDescent="0.45">
      <c r="B121" s="22">
        <f>Schedule!B72</f>
        <v>46337</v>
      </c>
      <c r="C121" s="22"/>
      <c r="D121" s="25" t="str">
        <f>"Start using these no later than "&amp;TEXT(B120,"mm/d")</f>
        <v>Start using these no later than 10/10</v>
      </c>
      <c r="H121" s="1"/>
      <c r="L121" s="15"/>
    </row>
    <row r="122" spans="2:12" x14ac:dyDescent="0.45">
      <c r="B122" s="22"/>
      <c r="C122" s="22"/>
      <c r="D122" s="27" t="s">
        <v>119</v>
      </c>
      <c r="H122" s="1"/>
      <c r="L122" s="15"/>
    </row>
    <row r="123" spans="2:12" x14ac:dyDescent="0.45">
      <c r="B123" s="22"/>
      <c r="C123" s="22"/>
      <c r="D123" s="27" t="s">
        <v>18</v>
      </c>
      <c r="H123" s="1"/>
      <c r="L123" s="15"/>
    </row>
    <row r="124" spans="2:12" x14ac:dyDescent="0.45">
      <c r="B124" s="22"/>
      <c r="C124" s="22"/>
      <c r="D124" s="27" t="s">
        <v>23</v>
      </c>
      <c r="H124" s="1"/>
      <c r="L124" s="15"/>
    </row>
    <row r="125" spans="2:12" x14ac:dyDescent="0.45">
      <c r="B125" s="22"/>
      <c r="C125" s="22"/>
      <c r="D125" s="26"/>
      <c r="H125" s="1"/>
      <c r="L125" s="15"/>
    </row>
    <row r="126" spans="2:12" x14ac:dyDescent="0.45">
      <c r="B126" s="22">
        <f>Schedule!B77</f>
        <v>46335</v>
      </c>
      <c r="C126" s="22" t="s">
        <v>69</v>
      </c>
      <c r="D126" s="24" t="s">
        <v>139</v>
      </c>
      <c r="H126" s="1"/>
      <c r="L126" s="15"/>
    </row>
    <row r="127" spans="2:12" x14ac:dyDescent="0.45">
      <c r="B127" s="22">
        <f>Schedule!B78</f>
        <v>46342</v>
      </c>
      <c r="C127" s="22"/>
      <c r="D127" s="27" t="s">
        <v>78</v>
      </c>
      <c r="H127" s="1"/>
      <c r="L127" s="15"/>
    </row>
    <row r="128" spans="2:12" x14ac:dyDescent="0.45">
      <c r="B128" s="22"/>
      <c r="C128" s="22"/>
      <c r="D128" s="25" t="s">
        <v>74</v>
      </c>
      <c r="H128" s="1"/>
      <c r="L128" s="15"/>
    </row>
    <row r="129" spans="2:12" x14ac:dyDescent="0.45">
      <c r="B129" s="22"/>
      <c r="C129" s="22"/>
      <c r="D129" s="25" t="s">
        <v>118</v>
      </c>
      <c r="H129" s="1"/>
      <c r="L129" s="15"/>
    </row>
    <row r="130" spans="2:12" x14ac:dyDescent="0.45">
      <c r="B130" s="22"/>
      <c r="C130" s="22"/>
      <c r="D130" s="27"/>
      <c r="H130" s="1"/>
      <c r="L130" s="15"/>
    </row>
    <row r="131" spans="2:12" x14ac:dyDescent="0.45">
      <c r="B131" s="22">
        <f>Schedule!B84</f>
        <v>46337</v>
      </c>
      <c r="C131" s="22" t="s">
        <v>69</v>
      </c>
      <c r="D131" s="24" t="s">
        <v>75</v>
      </c>
      <c r="H131" s="1"/>
      <c r="L131" s="15"/>
    </row>
    <row r="132" spans="2:12" x14ac:dyDescent="0.45">
      <c r="B132" s="22">
        <f>Schedule!B85</f>
        <v>46344</v>
      </c>
      <c r="C132" s="22"/>
      <c r="D132" s="27" t="s">
        <v>76</v>
      </c>
      <c r="H132" s="1"/>
      <c r="L132" s="15"/>
    </row>
    <row r="133" spans="2:12" x14ac:dyDescent="0.45">
      <c r="B133" s="22"/>
      <c r="C133" s="22"/>
      <c r="D133" s="27" t="s">
        <v>79</v>
      </c>
      <c r="H133" s="1"/>
      <c r="L133" s="15"/>
    </row>
    <row r="134" spans="2:12" x14ac:dyDescent="0.45">
      <c r="B134" s="22"/>
      <c r="C134" s="22"/>
      <c r="D134" s="27" t="s">
        <v>80</v>
      </c>
      <c r="H134" s="1"/>
      <c r="L134" s="15"/>
    </row>
    <row r="135" spans="2:12" x14ac:dyDescent="0.45">
      <c r="B135" s="22"/>
      <c r="C135" s="22"/>
      <c r="D135" s="25" t="s">
        <v>77</v>
      </c>
      <c r="H135" s="1"/>
      <c r="L135" s="15"/>
    </row>
    <row r="136" spans="2:12" x14ac:dyDescent="0.45">
      <c r="B136" s="22"/>
      <c r="C136" s="22"/>
      <c r="D136" s="27"/>
      <c r="H136" s="1"/>
      <c r="L136" s="15"/>
    </row>
    <row r="137" spans="2:12" x14ac:dyDescent="0.45">
      <c r="B137" s="42">
        <f>Schedule!B90</f>
        <v>46345</v>
      </c>
      <c r="C137" s="37"/>
      <c r="D137" s="35" t="s">
        <v>66</v>
      </c>
      <c r="H137" s="1"/>
      <c r="L137" s="15"/>
    </row>
    <row r="138" spans="2:12" x14ac:dyDescent="0.45">
      <c r="B138" s="22"/>
      <c r="C138" s="22"/>
      <c r="D138" s="26"/>
      <c r="H138" s="1"/>
      <c r="L138" s="15"/>
    </row>
    <row r="139" spans="2:12" x14ac:dyDescent="0.45">
      <c r="B139" s="22" t="str">
        <f>Schedule!B92</f>
        <v>Post Exam</v>
      </c>
      <c r="C139" s="22"/>
      <c r="D139" s="24" t="s">
        <v>65</v>
      </c>
      <c r="H139" s="1"/>
      <c r="L139" s="15"/>
    </row>
    <row r="140" spans="2:12" x14ac:dyDescent="0.45">
      <c r="H140" s="1"/>
      <c r="L140" s="15"/>
    </row>
    <row r="141" spans="2:12" x14ac:dyDescent="0.45">
      <c r="L141" s="15"/>
    </row>
  </sheetData>
  <mergeCells count="1">
    <mergeCell ref="I1:J1"/>
  </mergeCells>
  <dataValidations count="1">
    <dataValidation type="list" allowBlank="1" showInputMessage="1" showErrorMessage="1" sqref="K6:K103" xr:uid="{00000000-0002-0000-0300-000000000000}">
      <formula1>"No,Yes"</formula1>
    </dataValidation>
  </dataValidations>
  <hyperlinks>
    <hyperlink ref="D106" r:id="rId1" xr:uid="{00000000-0004-0000-0300-000000000000}"/>
  </hyperlinks>
  <pageMargins left="0.7" right="0.7" top="0.75" bottom="0.75" header="0.3" footer="0.3"/>
  <pageSetup scale="41" fitToHeight="0" orientation="portrait" r:id="rId2"/>
  <headerFooter>
    <oddHeader>&amp;L&amp;"Calibri,Regular"&amp;K000000TIA Suggested Study Schedule - GH Specialty Spring 2021&amp;R&amp;"Calibri,Regular"&amp;K000000www.theinfiniteactuary.com</oddHeader>
    <oddFooter>&amp;L&amp;"Calibri,Regular"&amp;K000000© 2022 The Infinite Actuary, LLC&amp;R&amp;"Calibri,Regular"&amp;K000000Page &amp;P of &amp;N</oddFooter>
  </headerFooter>
  <ignoredErrors>
    <ignoredError sqref="B130:B139 B108:B12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</sheetPr>
  <dimension ref="B58"/>
  <sheetViews>
    <sheetView showGridLines="0" zoomScale="70" zoomScaleNormal="70" zoomScalePageLayoutView="80" workbookViewId="0">
      <selection activeCell="L107" sqref="L107"/>
    </sheetView>
  </sheetViews>
  <sheetFormatPr defaultColWidth="8.796875" defaultRowHeight="14.25" x14ac:dyDescent="0.45"/>
  <sheetData>
    <row r="58" spans="2:2" x14ac:dyDescent="0.45">
      <c r="B58" t="s">
        <v>48</v>
      </c>
    </row>
  </sheetData>
  <pageMargins left="0.7" right="0.7" top="0.75" bottom="0.75" header="0.3" footer="0.3"/>
  <pageSetup scale="83" fitToHeight="0" orientation="portrait" r:id="rId1"/>
  <headerFooter>
    <oddHeader>&amp;L&amp;"Calibri,Regular"&amp;K000000TIA Suggested Study Schedule - GH RM Spring 2023&amp;R&amp;"Calibri,Regular"&amp;K000000www.theinfiniteactuary.com</oddHeader>
    <oddFooter>&amp;L&amp;"Calibri,Regular"&amp;K000000© 2023 The Infinite Actuary, LLC&amp;R&amp;"Calibri,Regular"&amp;K000000Page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88"/>
  <sheetViews>
    <sheetView zoomScale="90" zoomScaleNormal="90" workbookViewId="0">
      <selection activeCell="F36" sqref="F36"/>
    </sheetView>
  </sheetViews>
  <sheetFormatPr defaultColWidth="11.46484375" defaultRowHeight="14.25" x14ac:dyDescent="0.45"/>
  <cols>
    <col min="1" max="1" width="17.73046875" customWidth="1"/>
    <col min="6" max="6" width="65.53125" customWidth="1"/>
    <col min="9" max="9" width="52.53125" customWidth="1"/>
  </cols>
  <sheetData>
    <row r="2" spans="1:11" x14ac:dyDescent="0.45">
      <c r="A2" t="s">
        <v>27</v>
      </c>
      <c r="B2" s="39">
        <f>StartDate</f>
        <v>46204</v>
      </c>
    </row>
    <row r="3" spans="1:11" x14ac:dyDescent="0.45">
      <c r="A3" t="s">
        <v>31</v>
      </c>
      <c r="B3" s="39">
        <f>B4-7</f>
        <v>46298</v>
      </c>
      <c r="I3" t="s">
        <v>67</v>
      </c>
    </row>
    <row r="4" spans="1:11" x14ac:dyDescent="0.45">
      <c r="A4" t="s">
        <v>28</v>
      </c>
      <c r="B4" s="52">
        <v>46305</v>
      </c>
      <c r="G4">
        <f>SUM(G6:G56)</f>
        <v>47.75</v>
      </c>
      <c r="J4">
        <f>SUM(J6:J56)*2</f>
        <v>97</v>
      </c>
    </row>
    <row r="5" spans="1:11" x14ac:dyDescent="0.45">
      <c r="A5" t="s">
        <v>33</v>
      </c>
      <c r="B5">
        <f>B4-B3</f>
        <v>7</v>
      </c>
      <c r="F5" t="s">
        <v>12</v>
      </c>
      <c r="G5" t="s">
        <v>25</v>
      </c>
      <c r="H5" t="s">
        <v>26</v>
      </c>
      <c r="I5" t="s">
        <v>12</v>
      </c>
      <c r="J5" t="s">
        <v>25</v>
      </c>
      <c r="K5" t="s">
        <v>26</v>
      </c>
    </row>
    <row r="6" spans="1:11" x14ac:dyDescent="0.45">
      <c r="B6" s="39"/>
      <c r="E6">
        <v>1</v>
      </c>
      <c r="F6" t="s">
        <v>21</v>
      </c>
      <c r="G6">
        <v>0.5</v>
      </c>
      <c r="H6">
        <f>G6/$G$4</f>
        <v>1.0471204188481676E-2</v>
      </c>
      <c r="I6" t="s">
        <v>21</v>
      </c>
      <c r="J6">
        <v>0.5</v>
      </c>
      <c r="K6">
        <f>J6/$J$4</f>
        <v>5.1546391752577319E-3</v>
      </c>
    </row>
    <row r="7" spans="1:11" x14ac:dyDescent="0.45">
      <c r="B7" s="39"/>
      <c r="F7" s="1" t="s">
        <v>215</v>
      </c>
      <c r="G7">
        <v>1</v>
      </c>
      <c r="H7">
        <f t="shared" ref="H7:H56" si="0">G7/$G$4</f>
        <v>2.0942408376963352E-2</v>
      </c>
      <c r="I7" s="1" t="s">
        <v>215</v>
      </c>
      <c r="J7">
        <v>1</v>
      </c>
      <c r="K7">
        <f t="shared" ref="K7:K38" si="1">J7/$J$4</f>
        <v>1.0309278350515464E-2</v>
      </c>
    </row>
    <row r="8" spans="1:11" x14ac:dyDescent="0.45">
      <c r="A8" t="s">
        <v>30</v>
      </c>
      <c r="B8">
        <f>G4</f>
        <v>47.75</v>
      </c>
      <c r="F8" s="1" t="s">
        <v>216</v>
      </c>
      <c r="G8">
        <v>0.75</v>
      </c>
      <c r="H8">
        <f t="shared" si="0"/>
        <v>1.5706806282722512E-2</v>
      </c>
      <c r="I8" s="1" t="s">
        <v>216</v>
      </c>
      <c r="J8">
        <v>0.75</v>
      </c>
      <c r="K8">
        <f t="shared" si="1"/>
        <v>7.7319587628865982E-3</v>
      </c>
    </row>
    <row r="9" spans="1:11" x14ac:dyDescent="0.45">
      <c r="A9" t="s">
        <v>34</v>
      </c>
      <c r="B9">
        <f>B4-B2</f>
        <v>101</v>
      </c>
      <c r="F9" s="1" t="s">
        <v>217</v>
      </c>
      <c r="G9">
        <v>0.75</v>
      </c>
      <c r="H9">
        <f t="shared" si="0"/>
        <v>1.5706806282722512E-2</v>
      </c>
      <c r="I9" s="1" t="s">
        <v>217</v>
      </c>
      <c r="J9">
        <v>0.75</v>
      </c>
      <c r="K9">
        <f t="shared" si="1"/>
        <v>7.7319587628865982E-3</v>
      </c>
    </row>
    <row r="10" spans="1:11" x14ac:dyDescent="0.45">
      <c r="A10" t="s">
        <v>29</v>
      </c>
      <c r="B10">
        <f>IF(B2&gt;DATE(2015,7,1),MIN(B3-B2+45/B9*B5,B4-B2),B8)</f>
        <v>97.118811881188122</v>
      </c>
      <c r="F10" s="1" t="s">
        <v>218</v>
      </c>
      <c r="G10">
        <v>1</v>
      </c>
      <c r="H10">
        <f t="shared" si="0"/>
        <v>2.0942408376963352E-2</v>
      </c>
      <c r="I10" s="1" t="s">
        <v>218</v>
      </c>
      <c r="J10">
        <v>1</v>
      </c>
      <c r="K10">
        <f t="shared" si="1"/>
        <v>1.0309278350515464E-2</v>
      </c>
    </row>
    <row r="11" spans="1:11" x14ac:dyDescent="0.45">
      <c r="A11" t="s">
        <v>32</v>
      </c>
      <c r="B11" s="39">
        <f>TargetDays+B2</f>
        <v>46301.118811881192</v>
      </c>
      <c r="F11" s="1" t="s">
        <v>219</v>
      </c>
      <c r="G11">
        <v>1</v>
      </c>
      <c r="H11">
        <f t="shared" si="0"/>
        <v>2.0942408376963352E-2</v>
      </c>
      <c r="I11" s="1" t="s">
        <v>219</v>
      </c>
      <c r="J11">
        <v>1</v>
      </c>
      <c r="K11">
        <f t="shared" si="1"/>
        <v>1.0309278350515464E-2</v>
      </c>
    </row>
    <row r="12" spans="1:11" x14ac:dyDescent="0.45">
      <c r="F12" s="1" t="s">
        <v>220</v>
      </c>
      <c r="G12">
        <v>0.5</v>
      </c>
      <c r="H12">
        <f t="shared" si="0"/>
        <v>1.0471204188481676E-2</v>
      </c>
      <c r="I12" s="1" t="s">
        <v>220</v>
      </c>
      <c r="J12">
        <v>0.5</v>
      </c>
      <c r="K12">
        <f t="shared" si="1"/>
        <v>5.1546391752577319E-3</v>
      </c>
    </row>
    <row r="13" spans="1:11" x14ac:dyDescent="0.45">
      <c r="E13">
        <v>2</v>
      </c>
      <c r="F13" s="1" t="s">
        <v>271</v>
      </c>
      <c r="G13">
        <v>1.25</v>
      </c>
      <c r="H13">
        <f t="shared" si="0"/>
        <v>2.6178010471204188E-2</v>
      </c>
      <c r="I13" s="1" t="s">
        <v>271</v>
      </c>
      <c r="J13">
        <v>1.25</v>
      </c>
      <c r="K13">
        <f t="shared" si="1"/>
        <v>1.2886597938144329E-2</v>
      </c>
    </row>
    <row r="14" spans="1:11" x14ac:dyDescent="0.45">
      <c r="F14" s="1" t="s">
        <v>272</v>
      </c>
      <c r="G14">
        <v>0.25</v>
      </c>
      <c r="H14">
        <f t="shared" si="0"/>
        <v>5.235602094240838E-3</v>
      </c>
      <c r="I14" s="1" t="s">
        <v>272</v>
      </c>
      <c r="J14">
        <v>0.25</v>
      </c>
      <c r="K14">
        <f t="shared" si="1"/>
        <v>2.5773195876288659E-3</v>
      </c>
    </row>
    <row r="15" spans="1:11" x14ac:dyDescent="0.45">
      <c r="F15" s="1" t="s">
        <v>228</v>
      </c>
      <c r="G15">
        <v>1</v>
      </c>
      <c r="H15">
        <f t="shared" si="0"/>
        <v>2.0942408376963352E-2</v>
      </c>
      <c r="I15" s="1" t="s">
        <v>228</v>
      </c>
      <c r="J15">
        <v>1</v>
      </c>
      <c r="K15">
        <f t="shared" si="1"/>
        <v>1.0309278350515464E-2</v>
      </c>
    </row>
    <row r="16" spans="1:11" x14ac:dyDescent="0.45">
      <c r="F16" s="1" t="s">
        <v>273</v>
      </c>
      <c r="G16">
        <v>0.75</v>
      </c>
      <c r="H16">
        <f t="shared" si="0"/>
        <v>1.5706806282722512E-2</v>
      </c>
      <c r="I16" s="1" t="s">
        <v>273</v>
      </c>
      <c r="J16">
        <v>0.75</v>
      </c>
      <c r="K16">
        <f t="shared" si="1"/>
        <v>7.7319587628865982E-3</v>
      </c>
    </row>
    <row r="17" spans="2:11" x14ac:dyDescent="0.45">
      <c r="B17" s="39"/>
      <c r="F17" s="1" t="s">
        <v>274</v>
      </c>
      <c r="G17">
        <v>0.75</v>
      </c>
      <c r="H17">
        <f t="shared" si="0"/>
        <v>1.5706806282722512E-2</v>
      </c>
      <c r="I17" s="1" t="s">
        <v>274</v>
      </c>
      <c r="J17">
        <v>0.75</v>
      </c>
      <c r="K17">
        <f t="shared" si="1"/>
        <v>7.7319587628865982E-3</v>
      </c>
    </row>
    <row r="18" spans="2:11" x14ac:dyDescent="0.45">
      <c r="F18" s="1" t="s">
        <v>275</v>
      </c>
      <c r="G18">
        <v>0.75</v>
      </c>
      <c r="H18">
        <f t="shared" si="0"/>
        <v>1.5706806282722512E-2</v>
      </c>
      <c r="I18" s="1" t="s">
        <v>275</v>
      </c>
      <c r="J18">
        <v>0.75</v>
      </c>
      <c r="K18">
        <f t="shared" si="1"/>
        <v>7.7319587628865982E-3</v>
      </c>
    </row>
    <row r="19" spans="2:11" x14ac:dyDescent="0.45">
      <c r="F19" s="48" t="s">
        <v>276</v>
      </c>
      <c r="G19">
        <v>1.25</v>
      </c>
      <c r="H19">
        <f t="shared" si="0"/>
        <v>2.6178010471204188E-2</v>
      </c>
      <c r="I19" s="48" t="s">
        <v>276</v>
      </c>
      <c r="J19">
        <v>1.25</v>
      </c>
      <c r="K19">
        <f t="shared" si="1"/>
        <v>1.2886597938144329E-2</v>
      </c>
    </row>
    <row r="20" spans="2:11" x14ac:dyDescent="0.45">
      <c r="F20" s="1" t="s">
        <v>277</v>
      </c>
      <c r="G20">
        <v>1</v>
      </c>
      <c r="H20">
        <f t="shared" si="0"/>
        <v>2.0942408376963352E-2</v>
      </c>
      <c r="I20" s="1" t="s">
        <v>277</v>
      </c>
      <c r="J20">
        <v>1</v>
      </c>
      <c r="K20">
        <f t="shared" si="1"/>
        <v>1.0309278350515464E-2</v>
      </c>
    </row>
    <row r="21" spans="2:11" x14ac:dyDescent="0.45">
      <c r="F21" t="s">
        <v>278</v>
      </c>
      <c r="G21">
        <v>1</v>
      </c>
      <c r="H21">
        <f t="shared" si="0"/>
        <v>2.0942408376963352E-2</v>
      </c>
      <c r="I21" t="s">
        <v>278</v>
      </c>
      <c r="J21">
        <v>1</v>
      </c>
      <c r="K21">
        <f t="shared" si="1"/>
        <v>1.0309278350515464E-2</v>
      </c>
    </row>
    <row r="22" spans="2:11" x14ac:dyDescent="0.45">
      <c r="F22" s="1" t="s">
        <v>298</v>
      </c>
      <c r="G22">
        <v>1</v>
      </c>
      <c r="H22">
        <f t="shared" si="0"/>
        <v>2.0942408376963352E-2</v>
      </c>
      <c r="I22" s="1" t="s">
        <v>279</v>
      </c>
      <c r="J22">
        <v>1</v>
      </c>
      <c r="K22">
        <f t="shared" si="1"/>
        <v>1.0309278350515464E-2</v>
      </c>
    </row>
    <row r="23" spans="2:11" x14ac:dyDescent="0.45">
      <c r="F23" t="s">
        <v>280</v>
      </c>
      <c r="G23">
        <v>1</v>
      </c>
      <c r="H23">
        <f t="shared" si="0"/>
        <v>2.0942408376963352E-2</v>
      </c>
      <c r="I23" t="s">
        <v>280</v>
      </c>
      <c r="J23">
        <v>1</v>
      </c>
      <c r="K23">
        <f t="shared" si="1"/>
        <v>1.0309278350515464E-2</v>
      </c>
    </row>
    <row r="24" spans="2:11" x14ac:dyDescent="0.45">
      <c r="F24" s="1" t="s">
        <v>281</v>
      </c>
      <c r="G24">
        <v>0.75</v>
      </c>
      <c r="H24">
        <f t="shared" si="0"/>
        <v>1.5706806282722512E-2</v>
      </c>
      <c r="I24" s="1" t="s">
        <v>281</v>
      </c>
      <c r="J24">
        <v>0.75</v>
      </c>
      <c r="K24">
        <f t="shared" si="1"/>
        <v>7.7319587628865982E-3</v>
      </c>
    </row>
    <row r="25" spans="2:11" x14ac:dyDescent="0.45">
      <c r="F25" t="s">
        <v>234</v>
      </c>
      <c r="G25">
        <v>0.5</v>
      </c>
      <c r="H25">
        <f t="shared" si="0"/>
        <v>1.0471204188481676E-2</v>
      </c>
      <c r="I25" t="s">
        <v>234</v>
      </c>
      <c r="J25">
        <v>0.5</v>
      </c>
      <c r="K25">
        <f t="shared" si="1"/>
        <v>5.1546391752577319E-3</v>
      </c>
    </row>
    <row r="26" spans="2:11" x14ac:dyDescent="0.45">
      <c r="F26" s="1" t="s">
        <v>83</v>
      </c>
      <c r="G26">
        <v>0.5</v>
      </c>
      <c r="H26">
        <f t="shared" si="0"/>
        <v>1.0471204188481676E-2</v>
      </c>
      <c r="I26" s="1" t="s">
        <v>83</v>
      </c>
      <c r="J26">
        <v>0.5</v>
      </c>
      <c r="K26">
        <f t="shared" si="1"/>
        <v>5.1546391752577319E-3</v>
      </c>
    </row>
    <row r="27" spans="2:11" x14ac:dyDescent="0.45">
      <c r="F27" t="s">
        <v>84</v>
      </c>
      <c r="G27">
        <v>0.5</v>
      </c>
      <c r="H27">
        <f t="shared" si="0"/>
        <v>1.0471204188481676E-2</v>
      </c>
      <c r="I27" t="s">
        <v>84</v>
      </c>
      <c r="J27">
        <v>0.5</v>
      </c>
      <c r="K27">
        <f t="shared" si="1"/>
        <v>5.1546391752577319E-3</v>
      </c>
    </row>
    <row r="28" spans="2:11" x14ac:dyDescent="0.45">
      <c r="E28">
        <v>3</v>
      </c>
      <c r="F28" t="s">
        <v>251</v>
      </c>
      <c r="G28">
        <v>2</v>
      </c>
      <c r="H28">
        <f t="shared" si="0"/>
        <v>4.1884816753926704E-2</v>
      </c>
      <c r="I28" t="s">
        <v>251</v>
      </c>
      <c r="J28">
        <v>2</v>
      </c>
      <c r="K28">
        <f t="shared" si="1"/>
        <v>2.0618556701030927E-2</v>
      </c>
    </row>
    <row r="29" spans="2:11" x14ac:dyDescent="0.45">
      <c r="F29" s="1" t="s">
        <v>252</v>
      </c>
      <c r="G29">
        <v>2</v>
      </c>
      <c r="H29">
        <f t="shared" si="0"/>
        <v>4.1884816753926704E-2</v>
      </c>
      <c r="I29" s="1" t="s">
        <v>252</v>
      </c>
      <c r="J29">
        <v>2</v>
      </c>
      <c r="K29">
        <f t="shared" si="1"/>
        <v>2.0618556701030927E-2</v>
      </c>
    </row>
    <row r="30" spans="2:11" x14ac:dyDescent="0.45">
      <c r="F30" t="s">
        <v>253</v>
      </c>
      <c r="G30">
        <v>1</v>
      </c>
      <c r="H30">
        <f t="shared" si="0"/>
        <v>2.0942408376963352E-2</v>
      </c>
      <c r="I30" t="s">
        <v>253</v>
      </c>
      <c r="J30">
        <v>1</v>
      </c>
      <c r="K30">
        <f t="shared" si="1"/>
        <v>1.0309278350515464E-2</v>
      </c>
    </row>
    <row r="31" spans="2:11" x14ac:dyDescent="0.45">
      <c r="F31" t="s">
        <v>282</v>
      </c>
      <c r="G31">
        <v>1.25</v>
      </c>
      <c r="H31">
        <f t="shared" si="0"/>
        <v>2.6178010471204188E-2</v>
      </c>
      <c r="I31" t="s">
        <v>282</v>
      </c>
      <c r="J31">
        <v>1.25</v>
      </c>
      <c r="K31">
        <f t="shared" si="1"/>
        <v>1.2886597938144329E-2</v>
      </c>
    </row>
    <row r="32" spans="2:11" x14ac:dyDescent="0.45">
      <c r="F32" t="s">
        <v>283</v>
      </c>
      <c r="G32">
        <v>0.25</v>
      </c>
      <c r="H32">
        <f t="shared" si="0"/>
        <v>5.235602094240838E-3</v>
      </c>
      <c r="I32" t="s">
        <v>283</v>
      </c>
      <c r="J32">
        <v>0.25</v>
      </c>
      <c r="K32">
        <f t="shared" si="1"/>
        <v>2.5773195876288659E-3</v>
      </c>
    </row>
    <row r="33" spans="2:11" x14ac:dyDescent="0.45">
      <c r="E33">
        <v>4</v>
      </c>
      <c r="F33" t="s">
        <v>288</v>
      </c>
      <c r="G33">
        <v>0.75</v>
      </c>
      <c r="H33">
        <f t="shared" si="0"/>
        <v>1.5706806282722512E-2</v>
      </c>
      <c r="I33" t="s">
        <v>288</v>
      </c>
      <c r="J33">
        <v>0.75</v>
      </c>
      <c r="K33">
        <f t="shared" si="1"/>
        <v>7.7319587628865982E-3</v>
      </c>
    </row>
    <row r="34" spans="2:11" x14ac:dyDescent="0.45">
      <c r="F34" t="s">
        <v>287</v>
      </c>
      <c r="G34">
        <v>2</v>
      </c>
      <c r="H34">
        <f t="shared" ref="H34" si="2">G34/$G$4</f>
        <v>4.1884816753926704E-2</v>
      </c>
      <c r="I34" t="s">
        <v>287</v>
      </c>
      <c r="J34">
        <v>2</v>
      </c>
      <c r="K34">
        <f t="shared" ref="K34" si="3">J34/$J$4</f>
        <v>2.0618556701030927E-2</v>
      </c>
    </row>
    <row r="35" spans="2:11" x14ac:dyDescent="0.45">
      <c r="F35" t="s">
        <v>299</v>
      </c>
      <c r="G35">
        <v>1.25</v>
      </c>
      <c r="H35">
        <f t="shared" si="0"/>
        <v>2.6178010471204188E-2</v>
      </c>
      <c r="I35" t="s">
        <v>287</v>
      </c>
      <c r="J35">
        <v>2</v>
      </c>
      <c r="K35">
        <f t="shared" si="1"/>
        <v>2.0618556701030927E-2</v>
      </c>
    </row>
    <row r="36" spans="2:11" x14ac:dyDescent="0.45">
      <c r="E36">
        <v>5</v>
      </c>
      <c r="F36" t="s">
        <v>284</v>
      </c>
      <c r="G36">
        <v>1.25</v>
      </c>
      <c r="H36">
        <f t="shared" si="0"/>
        <v>2.6178010471204188E-2</v>
      </c>
      <c r="I36" t="s">
        <v>284</v>
      </c>
      <c r="J36">
        <v>1.25</v>
      </c>
      <c r="K36">
        <f t="shared" si="1"/>
        <v>1.2886597938144329E-2</v>
      </c>
    </row>
    <row r="37" spans="2:11" x14ac:dyDescent="0.45">
      <c r="F37" t="s">
        <v>285</v>
      </c>
      <c r="G37">
        <v>1</v>
      </c>
      <c r="H37">
        <f t="shared" si="0"/>
        <v>2.0942408376963352E-2</v>
      </c>
      <c r="I37" t="s">
        <v>285</v>
      </c>
      <c r="J37">
        <v>1</v>
      </c>
      <c r="K37">
        <f t="shared" si="1"/>
        <v>1.0309278350515464E-2</v>
      </c>
    </row>
    <row r="38" spans="2:11" x14ac:dyDescent="0.45">
      <c r="B38" s="39"/>
      <c r="F38" s="1" t="s">
        <v>249</v>
      </c>
      <c r="G38">
        <v>0.5</v>
      </c>
      <c r="H38">
        <f t="shared" si="0"/>
        <v>1.0471204188481676E-2</v>
      </c>
      <c r="I38" s="1" t="s">
        <v>249</v>
      </c>
      <c r="J38">
        <v>0.5</v>
      </c>
      <c r="K38">
        <f t="shared" si="1"/>
        <v>5.1546391752577319E-3</v>
      </c>
    </row>
    <row r="39" spans="2:11" x14ac:dyDescent="0.45">
      <c r="E39">
        <v>6</v>
      </c>
      <c r="F39" s="1" t="s">
        <v>264</v>
      </c>
      <c r="G39">
        <v>0.75</v>
      </c>
      <c r="H39">
        <f t="shared" si="0"/>
        <v>1.5706806282722512E-2</v>
      </c>
      <c r="I39" s="1" t="s">
        <v>264</v>
      </c>
      <c r="J39">
        <v>0.75</v>
      </c>
      <c r="K39">
        <f t="shared" ref="K39:K54" si="4">J39/$J$4</f>
        <v>7.7319587628865982E-3</v>
      </c>
    </row>
    <row r="40" spans="2:11" x14ac:dyDescent="0.45">
      <c r="F40" s="1" t="s">
        <v>265</v>
      </c>
      <c r="G40">
        <v>1.5</v>
      </c>
      <c r="H40">
        <f t="shared" si="0"/>
        <v>3.1413612565445025E-2</v>
      </c>
      <c r="I40" s="1" t="s">
        <v>265</v>
      </c>
      <c r="J40">
        <v>1.5</v>
      </c>
      <c r="K40">
        <f t="shared" si="4"/>
        <v>1.5463917525773196E-2</v>
      </c>
    </row>
    <row r="41" spans="2:11" x14ac:dyDescent="0.45">
      <c r="F41" s="1" t="s">
        <v>266</v>
      </c>
      <c r="G41">
        <v>1.25</v>
      </c>
      <c r="H41">
        <f t="shared" si="0"/>
        <v>2.6178010471204188E-2</v>
      </c>
      <c r="I41" s="1" t="s">
        <v>266</v>
      </c>
      <c r="J41">
        <v>1.25</v>
      </c>
      <c r="K41">
        <f t="shared" si="4"/>
        <v>1.2886597938144329E-2</v>
      </c>
    </row>
    <row r="42" spans="2:11" x14ac:dyDescent="0.45">
      <c r="F42" s="1" t="s">
        <v>267</v>
      </c>
      <c r="G42">
        <v>1.5</v>
      </c>
      <c r="H42">
        <f t="shared" si="0"/>
        <v>3.1413612565445025E-2</v>
      </c>
      <c r="I42" s="1" t="s">
        <v>267</v>
      </c>
      <c r="J42">
        <v>1.5</v>
      </c>
      <c r="K42">
        <f t="shared" si="4"/>
        <v>1.5463917525773196E-2</v>
      </c>
    </row>
    <row r="43" spans="2:11" x14ac:dyDescent="0.45">
      <c r="F43" s="1" t="s">
        <v>268</v>
      </c>
      <c r="G43">
        <v>0.5</v>
      </c>
      <c r="H43">
        <f t="shared" si="0"/>
        <v>1.0471204188481676E-2</v>
      </c>
      <c r="I43" s="1" t="s">
        <v>268</v>
      </c>
      <c r="J43">
        <v>0.5</v>
      </c>
      <c r="K43">
        <f t="shared" ref="K43:K48" si="5">J43/$J$4</f>
        <v>5.1546391752577319E-3</v>
      </c>
    </row>
    <row r="44" spans="2:11" x14ac:dyDescent="0.45">
      <c r="F44" s="1" t="s">
        <v>270</v>
      </c>
      <c r="G44">
        <v>0.75</v>
      </c>
      <c r="H44">
        <f t="shared" si="0"/>
        <v>1.5706806282722512E-2</v>
      </c>
      <c r="I44" s="1" t="s">
        <v>270</v>
      </c>
      <c r="J44">
        <v>0.75</v>
      </c>
      <c r="K44">
        <f t="shared" si="5"/>
        <v>7.7319587628865982E-3</v>
      </c>
    </row>
    <row r="45" spans="2:11" x14ac:dyDescent="0.45">
      <c r="F45" s="1" t="s">
        <v>269</v>
      </c>
      <c r="G45">
        <v>0.5</v>
      </c>
      <c r="H45">
        <f t="shared" si="0"/>
        <v>1.0471204188481676E-2</v>
      </c>
      <c r="I45" s="1" t="s">
        <v>269</v>
      </c>
      <c r="J45">
        <v>0.5</v>
      </c>
      <c r="K45">
        <f t="shared" si="5"/>
        <v>5.1546391752577319E-3</v>
      </c>
    </row>
    <row r="46" spans="2:11" x14ac:dyDescent="0.45">
      <c r="F46" s="1" t="s">
        <v>261</v>
      </c>
      <c r="G46">
        <v>1.5</v>
      </c>
      <c r="H46">
        <f t="shared" si="0"/>
        <v>3.1413612565445025E-2</v>
      </c>
      <c r="I46" s="1" t="s">
        <v>261</v>
      </c>
      <c r="J46">
        <v>1.5</v>
      </c>
      <c r="K46">
        <f t="shared" si="5"/>
        <v>1.5463917525773196E-2</v>
      </c>
    </row>
    <row r="47" spans="2:11" x14ac:dyDescent="0.45">
      <c r="F47" s="1" t="s">
        <v>262</v>
      </c>
      <c r="G47">
        <v>1.25</v>
      </c>
      <c r="H47">
        <f t="shared" si="0"/>
        <v>2.6178010471204188E-2</v>
      </c>
      <c r="I47" s="1" t="s">
        <v>262</v>
      </c>
      <c r="J47">
        <v>1.25</v>
      </c>
      <c r="K47">
        <f t="shared" si="5"/>
        <v>1.2886597938144329E-2</v>
      </c>
    </row>
    <row r="48" spans="2:11" x14ac:dyDescent="0.45">
      <c r="F48" s="1" t="s">
        <v>263</v>
      </c>
      <c r="G48">
        <v>1.25</v>
      </c>
      <c r="H48">
        <f t="shared" si="0"/>
        <v>2.6178010471204188E-2</v>
      </c>
      <c r="I48" s="1" t="s">
        <v>263</v>
      </c>
      <c r="J48">
        <v>1.25</v>
      </c>
      <c r="K48">
        <f t="shared" si="5"/>
        <v>1.2886597938144329E-2</v>
      </c>
    </row>
    <row r="49" spans="6:11" x14ac:dyDescent="0.45">
      <c r="F49" s="1"/>
      <c r="H49">
        <f t="shared" si="0"/>
        <v>0</v>
      </c>
      <c r="I49" s="1"/>
      <c r="K49">
        <f t="shared" si="4"/>
        <v>0</v>
      </c>
    </row>
    <row r="50" spans="6:11" x14ac:dyDescent="0.45">
      <c r="F50" s="1"/>
      <c r="H50">
        <f t="shared" si="0"/>
        <v>0</v>
      </c>
      <c r="I50" s="1"/>
      <c r="K50">
        <f t="shared" si="4"/>
        <v>0</v>
      </c>
    </row>
    <row r="51" spans="6:11" x14ac:dyDescent="0.45">
      <c r="F51" t="s">
        <v>59</v>
      </c>
      <c r="G51">
        <v>1</v>
      </c>
      <c r="H51">
        <f t="shared" si="0"/>
        <v>2.0942408376963352E-2</v>
      </c>
      <c r="I51" t="s">
        <v>59</v>
      </c>
      <c r="J51">
        <v>1</v>
      </c>
      <c r="K51">
        <f t="shared" si="4"/>
        <v>1.0309278350515464E-2</v>
      </c>
    </row>
    <row r="52" spans="6:11" x14ac:dyDescent="0.45">
      <c r="F52" t="s">
        <v>60</v>
      </c>
      <c r="G52">
        <v>1</v>
      </c>
      <c r="H52">
        <f t="shared" si="0"/>
        <v>2.0942408376963352E-2</v>
      </c>
      <c r="I52" t="s">
        <v>60</v>
      </c>
      <c r="J52">
        <v>1</v>
      </c>
      <c r="K52">
        <f t="shared" si="4"/>
        <v>1.0309278350515464E-2</v>
      </c>
    </row>
    <row r="53" spans="6:11" x14ac:dyDescent="0.45">
      <c r="F53" t="s">
        <v>61</v>
      </c>
      <c r="G53">
        <v>1</v>
      </c>
      <c r="H53">
        <f t="shared" si="0"/>
        <v>2.0942408376963352E-2</v>
      </c>
      <c r="I53" t="s">
        <v>61</v>
      </c>
      <c r="J53">
        <v>1</v>
      </c>
      <c r="K53">
        <f t="shared" si="4"/>
        <v>1.0309278350515464E-2</v>
      </c>
    </row>
    <row r="54" spans="6:11" x14ac:dyDescent="0.45">
      <c r="F54" t="s">
        <v>170</v>
      </c>
      <c r="G54">
        <v>1</v>
      </c>
      <c r="H54">
        <f t="shared" si="0"/>
        <v>2.0942408376963352E-2</v>
      </c>
      <c r="I54" t="s">
        <v>170</v>
      </c>
      <c r="J54">
        <v>1</v>
      </c>
      <c r="K54">
        <f t="shared" si="4"/>
        <v>1.0309278350515464E-2</v>
      </c>
    </row>
    <row r="55" spans="6:11" x14ac:dyDescent="0.45">
      <c r="F55" t="s">
        <v>204</v>
      </c>
      <c r="G55">
        <v>1</v>
      </c>
      <c r="H55">
        <f t="shared" si="0"/>
        <v>2.0942408376963352E-2</v>
      </c>
      <c r="I55" t="s">
        <v>204</v>
      </c>
      <c r="J55">
        <v>1</v>
      </c>
      <c r="K55">
        <f t="shared" ref="K55:K56" si="6">J55/$J$4</f>
        <v>1.0309278350515464E-2</v>
      </c>
    </row>
    <row r="56" spans="6:11" x14ac:dyDescent="0.45">
      <c r="F56" t="s">
        <v>250</v>
      </c>
      <c r="G56">
        <v>1</v>
      </c>
      <c r="H56">
        <f t="shared" si="0"/>
        <v>2.0942408376963352E-2</v>
      </c>
      <c r="I56" t="s">
        <v>250</v>
      </c>
      <c r="J56">
        <v>1</v>
      </c>
      <c r="K56">
        <f t="shared" si="6"/>
        <v>1.0309278350515464E-2</v>
      </c>
    </row>
    <row r="60" spans="6:11" x14ac:dyDescent="0.45">
      <c r="F60" t="s">
        <v>82</v>
      </c>
      <c r="G60">
        <v>2.25</v>
      </c>
      <c r="H60">
        <f>G60/$G$4</f>
        <v>4.712041884816754E-2</v>
      </c>
      <c r="I60" t="s">
        <v>82</v>
      </c>
      <c r="J60">
        <v>2.25</v>
      </c>
      <c r="K60">
        <f>J60/$J$4</f>
        <v>2.3195876288659795E-2</v>
      </c>
    </row>
    <row r="61" spans="6:11" x14ac:dyDescent="0.45">
      <c r="F61" t="s">
        <v>51</v>
      </c>
      <c r="G61">
        <v>1.5</v>
      </c>
      <c r="H61">
        <f>G61/$G$4</f>
        <v>3.1413612565445025E-2</v>
      </c>
      <c r="I61" t="s">
        <v>51</v>
      </c>
      <c r="J61">
        <v>1.5</v>
      </c>
      <c r="K61">
        <f>J61/$J$4</f>
        <v>1.5463917525773196E-2</v>
      </c>
    </row>
    <row r="62" spans="6:11" x14ac:dyDescent="0.45">
      <c r="F62" t="s">
        <v>52</v>
      </c>
      <c r="G62">
        <v>0.25</v>
      </c>
      <c r="H62">
        <f>G62/$G$4</f>
        <v>5.235602094240838E-3</v>
      </c>
      <c r="I62" t="s">
        <v>52</v>
      </c>
      <c r="J62">
        <v>0.25</v>
      </c>
      <c r="K62">
        <f>J62/$J$4</f>
        <v>2.5773195876288659E-3</v>
      </c>
    </row>
    <row r="63" spans="6:11" x14ac:dyDescent="0.45">
      <c r="F63" t="s">
        <v>88</v>
      </c>
      <c r="G63">
        <v>1</v>
      </c>
      <c r="H63">
        <f t="shared" ref="H63:H80" si="7">G63/$G$4</f>
        <v>2.0942408376963352E-2</v>
      </c>
      <c r="I63" t="s">
        <v>88</v>
      </c>
      <c r="J63">
        <v>1</v>
      </c>
      <c r="K63">
        <f t="shared" ref="K63:K80" si="8">J63/$J$4</f>
        <v>1.0309278350515464E-2</v>
      </c>
    </row>
    <row r="64" spans="6:11" x14ac:dyDescent="0.45">
      <c r="F64" t="s">
        <v>132</v>
      </c>
      <c r="G64">
        <v>1</v>
      </c>
      <c r="H64">
        <f t="shared" si="7"/>
        <v>2.0942408376963352E-2</v>
      </c>
      <c r="I64" t="s">
        <v>132</v>
      </c>
      <c r="J64">
        <v>1</v>
      </c>
      <c r="K64">
        <f t="shared" si="8"/>
        <v>1.0309278350515464E-2</v>
      </c>
    </row>
    <row r="65" spans="6:11" x14ac:dyDescent="0.45">
      <c r="F65" t="s">
        <v>131</v>
      </c>
      <c r="G65">
        <v>1.75</v>
      </c>
      <c r="H65">
        <f t="shared" si="7"/>
        <v>3.6649214659685861E-2</v>
      </c>
      <c r="I65" t="s">
        <v>131</v>
      </c>
      <c r="J65">
        <v>1.75</v>
      </c>
      <c r="K65">
        <f t="shared" si="8"/>
        <v>1.804123711340206E-2</v>
      </c>
    </row>
    <row r="66" spans="6:11" x14ac:dyDescent="0.45">
      <c r="F66" t="s">
        <v>101</v>
      </c>
      <c r="G66">
        <v>1</v>
      </c>
      <c r="H66">
        <f t="shared" si="7"/>
        <v>2.0942408376963352E-2</v>
      </c>
      <c r="I66" t="s">
        <v>101</v>
      </c>
      <c r="J66">
        <v>1</v>
      </c>
      <c r="K66">
        <f t="shared" si="8"/>
        <v>1.0309278350515464E-2</v>
      </c>
    </row>
    <row r="67" spans="6:11" x14ac:dyDescent="0.45">
      <c r="F67" t="s">
        <v>53</v>
      </c>
      <c r="G67">
        <v>0.75</v>
      </c>
      <c r="H67">
        <f t="shared" si="7"/>
        <v>1.5706806282722512E-2</v>
      </c>
      <c r="I67" t="s">
        <v>53</v>
      </c>
      <c r="J67">
        <v>0.75</v>
      </c>
      <c r="K67">
        <f t="shared" si="8"/>
        <v>7.7319587628865982E-3</v>
      </c>
    </row>
    <row r="68" spans="6:11" x14ac:dyDescent="0.45">
      <c r="F68" t="s">
        <v>54</v>
      </c>
      <c r="G68">
        <v>0.75</v>
      </c>
      <c r="H68">
        <f t="shared" si="7"/>
        <v>1.5706806282722512E-2</v>
      </c>
      <c r="I68" t="s">
        <v>54</v>
      </c>
      <c r="J68">
        <v>0.75</v>
      </c>
      <c r="K68">
        <f t="shared" si="8"/>
        <v>7.7319587628865982E-3</v>
      </c>
    </row>
    <row r="69" spans="6:11" x14ac:dyDescent="0.45">
      <c r="F69" t="s">
        <v>55</v>
      </c>
      <c r="G69">
        <v>1</v>
      </c>
      <c r="H69">
        <f t="shared" si="7"/>
        <v>2.0942408376963352E-2</v>
      </c>
      <c r="I69" t="s">
        <v>55</v>
      </c>
      <c r="J69">
        <v>1</v>
      </c>
      <c r="K69">
        <f t="shared" si="8"/>
        <v>1.0309278350515464E-2</v>
      </c>
    </row>
    <row r="70" spans="6:11" x14ac:dyDescent="0.45">
      <c r="F70" s="1" t="s">
        <v>81</v>
      </c>
      <c r="G70">
        <v>1.5</v>
      </c>
      <c r="H70">
        <f t="shared" si="7"/>
        <v>3.1413612565445025E-2</v>
      </c>
      <c r="I70" s="1" t="s">
        <v>81</v>
      </c>
      <c r="J70">
        <v>1.5</v>
      </c>
      <c r="K70">
        <f t="shared" si="8"/>
        <v>1.5463917525773196E-2</v>
      </c>
    </row>
    <row r="71" spans="6:11" x14ac:dyDescent="0.45">
      <c r="F71" t="s">
        <v>89</v>
      </c>
      <c r="G71">
        <v>0.5</v>
      </c>
      <c r="H71">
        <f t="shared" si="7"/>
        <v>1.0471204188481676E-2</v>
      </c>
      <c r="I71" t="s">
        <v>89</v>
      </c>
      <c r="J71">
        <v>0.5</v>
      </c>
      <c r="K71">
        <f t="shared" si="8"/>
        <v>5.1546391752577319E-3</v>
      </c>
    </row>
    <row r="72" spans="6:11" x14ac:dyDescent="0.45">
      <c r="F72" t="s">
        <v>133</v>
      </c>
      <c r="G72">
        <v>0.75</v>
      </c>
      <c r="H72">
        <f t="shared" si="7"/>
        <v>1.5706806282722512E-2</v>
      </c>
      <c r="I72" t="s">
        <v>133</v>
      </c>
      <c r="J72">
        <v>0.75</v>
      </c>
      <c r="K72">
        <f t="shared" si="8"/>
        <v>7.7319587628865982E-3</v>
      </c>
    </row>
    <row r="73" spans="6:11" x14ac:dyDescent="0.45">
      <c r="F73" t="s">
        <v>56</v>
      </c>
      <c r="G73">
        <v>0.5</v>
      </c>
      <c r="H73">
        <f t="shared" si="7"/>
        <v>1.0471204188481676E-2</v>
      </c>
      <c r="I73" t="s">
        <v>56</v>
      </c>
      <c r="J73">
        <v>0.5</v>
      </c>
      <c r="K73">
        <f t="shared" si="8"/>
        <v>5.1546391752577319E-3</v>
      </c>
    </row>
    <row r="74" spans="6:11" x14ac:dyDescent="0.45">
      <c r="F74" t="s">
        <v>102</v>
      </c>
      <c r="G74">
        <v>1</v>
      </c>
      <c r="H74">
        <f t="shared" si="7"/>
        <v>2.0942408376963352E-2</v>
      </c>
      <c r="I74" t="s">
        <v>102</v>
      </c>
      <c r="J74">
        <v>1</v>
      </c>
      <c r="K74">
        <f t="shared" si="8"/>
        <v>1.0309278350515464E-2</v>
      </c>
    </row>
    <row r="75" spans="6:11" x14ac:dyDescent="0.45">
      <c r="F75" t="s">
        <v>134</v>
      </c>
      <c r="G75">
        <v>1</v>
      </c>
      <c r="H75">
        <f t="shared" si="7"/>
        <v>2.0942408376963352E-2</v>
      </c>
      <c r="I75" t="s">
        <v>134</v>
      </c>
      <c r="J75">
        <v>1</v>
      </c>
      <c r="K75">
        <f t="shared" si="8"/>
        <v>1.0309278350515464E-2</v>
      </c>
    </row>
    <row r="76" spans="6:11" x14ac:dyDescent="0.45">
      <c r="F76" s="1" t="s">
        <v>83</v>
      </c>
      <c r="G76">
        <v>0.5</v>
      </c>
      <c r="H76">
        <f t="shared" si="7"/>
        <v>1.0471204188481676E-2</v>
      </c>
      <c r="I76" s="1" t="s">
        <v>83</v>
      </c>
      <c r="J76">
        <v>0.5</v>
      </c>
      <c r="K76">
        <f t="shared" si="8"/>
        <v>5.1546391752577319E-3</v>
      </c>
    </row>
    <row r="77" spans="6:11" x14ac:dyDescent="0.45">
      <c r="F77" s="1" t="s">
        <v>84</v>
      </c>
      <c r="G77">
        <v>0.5</v>
      </c>
      <c r="H77">
        <f t="shared" si="7"/>
        <v>1.0471204188481676E-2</v>
      </c>
      <c r="I77" s="1" t="s">
        <v>84</v>
      </c>
      <c r="J77">
        <v>0.5</v>
      </c>
      <c r="K77">
        <f t="shared" si="8"/>
        <v>5.1546391752577319E-3</v>
      </c>
    </row>
    <row r="78" spans="6:11" x14ac:dyDescent="0.45">
      <c r="F78" t="s">
        <v>57</v>
      </c>
      <c r="G78">
        <v>0.5</v>
      </c>
      <c r="H78">
        <f t="shared" si="7"/>
        <v>1.0471204188481676E-2</v>
      </c>
      <c r="I78" t="s">
        <v>57</v>
      </c>
      <c r="J78">
        <v>0.5</v>
      </c>
      <c r="K78">
        <f t="shared" si="8"/>
        <v>5.1546391752577319E-3</v>
      </c>
    </row>
    <row r="79" spans="6:11" x14ac:dyDescent="0.45">
      <c r="F79" t="s">
        <v>90</v>
      </c>
      <c r="G79">
        <v>0.5</v>
      </c>
      <c r="H79">
        <f t="shared" si="7"/>
        <v>1.0471204188481676E-2</v>
      </c>
      <c r="I79" t="s">
        <v>90</v>
      </c>
      <c r="J79">
        <v>0.5</v>
      </c>
      <c r="K79">
        <f t="shared" si="8"/>
        <v>5.1546391752577319E-3</v>
      </c>
    </row>
    <row r="80" spans="6:11" x14ac:dyDescent="0.45">
      <c r="F80" t="s">
        <v>110</v>
      </c>
      <c r="G80">
        <v>0.5</v>
      </c>
      <c r="H80">
        <f t="shared" si="7"/>
        <v>1.0471204188481676E-2</v>
      </c>
      <c r="I80" t="s">
        <v>110</v>
      </c>
      <c r="J80">
        <v>0.5</v>
      </c>
      <c r="K80">
        <f t="shared" si="8"/>
        <v>5.1546391752577319E-3</v>
      </c>
    </row>
    <row r="88" spans="6:6" x14ac:dyDescent="0.45">
      <c r="F88" s="1"/>
    </row>
  </sheetData>
  <phoneticPr fontId="17" type="noConversion"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</vt:i4>
      </vt:variant>
    </vt:vector>
  </HeadingPairs>
  <TitlesOfParts>
    <vt:vector size="21" baseType="lpstr">
      <vt:lpstr>Documentation</vt:lpstr>
      <vt:lpstr>Schedule</vt:lpstr>
      <vt:lpstr>Tracking</vt:lpstr>
      <vt:lpstr>Schedule (double)</vt:lpstr>
      <vt:lpstr>Tracking (double)</vt:lpstr>
      <vt:lpstr>info</vt:lpstr>
      <vt:lpstr>'Schedule (double)'!ActFDate</vt:lpstr>
      <vt:lpstr>ActFDate</vt:lpstr>
      <vt:lpstr>'Schedule (double)'!CompFlag</vt:lpstr>
      <vt:lpstr>CompFlag</vt:lpstr>
      <vt:lpstr>LessonDays</vt:lpstr>
      <vt:lpstr>LessonDaysDouble</vt:lpstr>
      <vt:lpstr>'Schedule (double)'!PgCnt</vt:lpstr>
      <vt:lpstr>PgCnt</vt:lpstr>
      <vt:lpstr>Documentation!Print_Area</vt:lpstr>
      <vt:lpstr>Schedule!Print_Area</vt:lpstr>
      <vt:lpstr>Schedule!Print_Titles</vt:lpstr>
      <vt:lpstr>'Schedule (double)'!Print_Titles</vt:lpstr>
      <vt:lpstr>'Schedule (double)'!StartDate</vt:lpstr>
      <vt:lpstr>StartDate</vt:lpstr>
      <vt:lpstr>TargetDays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Derek Brace</cp:lastModifiedBy>
  <cp:lastPrinted>2026-06-13T06:00:54Z</cp:lastPrinted>
  <dcterms:created xsi:type="dcterms:W3CDTF">2014-07-30T14:04:26Z</dcterms:created>
  <dcterms:modified xsi:type="dcterms:W3CDTF">2026-06-13T06:19:55Z</dcterms:modified>
</cp:coreProperties>
</file>